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8. 31 ส.ค. 67\ภาพรวม\"/>
    </mc:Choice>
  </mc:AlternateContent>
  <xr:revisionPtr revIDLastSave="0" documentId="13_ncr:1_{F01A36F9-86EA-4C1D-A101-F2DBD6C251D4}" xr6:coauthVersionLast="47" xr6:coauthVersionMax="47" xr10:uidLastSave="{00000000-0000-0000-0000-000000000000}"/>
  <bookViews>
    <workbookView xWindow="-120" yWindow="-120" windowWidth="24240" windowHeight="13020" firstSheet="8" activeTab="16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8" l="1"/>
  <c r="O22" i="18" s="1"/>
  <c r="M22" i="18"/>
  <c r="N22" i="18"/>
  <c r="Q22" i="18"/>
  <c r="T22" i="18" s="1"/>
  <c r="R22" i="18"/>
  <c r="S22" i="18"/>
  <c r="L25" i="18"/>
  <c r="M25" i="18"/>
  <c r="N25" i="18"/>
  <c r="O25" i="18"/>
  <c r="Q25" i="18"/>
  <c r="T25" i="18" s="1"/>
  <c r="R25" i="18"/>
  <c r="U25" i="18" s="1"/>
  <c r="S25" i="18"/>
  <c r="L45" i="18"/>
  <c r="O45" i="18" s="1"/>
  <c r="M45" i="18"/>
  <c r="N45" i="18"/>
  <c r="P45" i="18"/>
  <c r="Q45" i="18"/>
  <c r="R45" i="18"/>
  <c r="U45" i="18" s="1"/>
  <c r="S45" i="18"/>
  <c r="T45" i="18"/>
  <c r="Q46" i="18"/>
  <c r="R46" i="18"/>
  <c r="U46" i="18" s="1"/>
  <c r="S46" i="18"/>
  <c r="T46" i="18"/>
  <c r="Q47" i="18"/>
  <c r="T47" i="18" s="1"/>
  <c r="R47" i="18"/>
  <c r="U47" i="18" s="1"/>
  <c r="S47" i="18"/>
  <c r="O48" i="18"/>
  <c r="P48" i="18"/>
  <c r="T48" i="18"/>
  <c r="U48" i="18"/>
  <c r="L49" i="18"/>
  <c r="M49" i="18"/>
  <c r="M47" i="18" s="1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O52" i="18" s="1"/>
  <c r="M52" i="18"/>
  <c r="N52" i="18"/>
  <c r="T52" i="18"/>
  <c r="U52" i="18"/>
  <c r="L60" i="18"/>
  <c r="O60" i="18" s="1"/>
  <c r="M60" i="18"/>
  <c r="N60" i="18"/>
  <c r="P60" i="18"/>
  <c r="Q60" i="18"/>
  <c r="R60" i="18"/>
  <c r="U60" i="18" s="1"/>
  <c r="S60" i="18"/>
  <c r="Q61" i="18"/>
  <c r="R61" i="18"/>
  <c r="U61" i="18" s="1"/>
  <c r="S61" i="18"/>
  <c r="S59" i="18" s="1"/>
  <c r="T61" i="18"/>
  <c r="Q62" i="18"/>
  <c r="R62" i="18"/>
  <c r="U62" i="18" s="1"/>
  <c r="S62" i="18"/>
  <c r="T62" i="18"/>
  <c r="O63" i="18"/>
  <c r="P63" i="18"/>
  <c r="T63" i="18"/>
  <c r="U63" i="18"/>
  <c r="L64" i="18"/>
  <c r="M64" i="18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L65" i="18" s="1"/>
  <c r="M67" i="18"/>
  <c r="N67" i="18"/>
  <c r="N65" i="18" s="1"/>
  <c r="T67" i="18"/>
  <c r="U67" i="18"/>
  <c r="L73" i="18"/>
  <c r="O73" i="18" s="1"/>
  <c r="M73" i="18"/>
  <c r="N73" i="18"/>
  <c r="P73" i="18"/>
  <c r="Q73" i="18"/>
  <c r="T73" i="18" s="1"/>
  <c r="R73" i="18"/>
  <c r="U73" i="18" s="1"/>
  <c r="S73" i="18"/>
  <c r="O76" i="18"/>
  <c r="P76" i="18"/>
  <c r="T76" i="18"/>
  <c r="U76" i="18"/>
  <c r="L77" i="18"/>
  <c r="M77" i="18"/>
  <c r="N77" i="18"/>
  <c r="N75" i="18" s="1"/>
  <c r="Q77" i="18"/>
  <c r="R77" i="18"/>
  <c r="R75" i="18" s="1"/>
  <c r="S77" i="18"/>
  <c r="S75" i="18" s="1"/>
  <c r="O79" i="18"/>
  <c r="P79" i="18"/>
  <c r="T79" i="18"/>
  <c r="U79" i="18"/>
  <c r="L80" i="18"/>
  <c r="O80" i="18" s="1"/>
  <c r="M80" i="18"/>
  <c r="M78" i="18" s="1"/>
  <c r="P78" i="18" s="1"/>
  <c r="N80" i="18"/>
  <c r="N78" i="18" s="1"/>
  <c r="Q80" i="18"/>
  <c r="T80" i="18" s="1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N95" i="18"/>
  <c r="Q95" i="18"/>
  <c r="R95" i="18"/>
  <c r="S95" i="18"/>
  <c r="T95" i="18"/>
  <c r="O98" i="18"/>
  <c r="P98" i="18"/>
  <c r="T98" i="18"/>
  <c r="U98" i="18"/>
  <c r="L99" i="18"/>
  <c r="O99" i="18" s="1"/>
  <c r="M99" i="18"/>
  <c r="P99" i="18" s="1"/>
  <c r="N99" i="18"/>
  <c r="N97" i="18" s="1"/>
  <c r="Q99" i="18"/>
  <c r="R99" i="18"/>
  <c r="U99" i="18" s="1"/>
  <c r="S99" i="18"/>
  <c r="S96" i="18" s="1"/>
  <c r="Q100" i="18"/>
  <c r="T100" i="18" s="1"/>
  <c r="R100" i="18"/>
  <c r="U100" i="18" s="1"/>
  <c r="S100" i="18"/>
  <c r="O101" i="18"/>
  <c r="P101" i="18"/>
  <c r="T101" i="18"/>
  <c r="U101" i="18"/>
  <c r="L102" i="18"/>
  <c r="O102" i="18" s="1"/>
  <c r="M102" i="18"/>
  <c r="M100" i="18" s="1"/>
  <c r="P100" i="18" s="1"/>
  <c r="N102" i="18"/>
  <c r="N100" i="18" s="1"/>
  <c r="T102" i="18"/>
  <c r="U102" i="18"/>
  <c r="I108" i="18"/>
  <c r="K108" i="18" s="1"/>
  <c r="I109" i="18"/>
  <c r="I93" i="18" s="1"/>
  <c r="K93" i="18" s="1"/>
  <c r="I114" i="18"/>
  <c r="K114" i="18" s="1"/>
  <c r="J116" i="18"/>
  <c r="L118" i="18"/>
  <c r="M118" i="18"/>
  <c r="N118" i="18"/>
  <c r="P118" i="18"/>
  <c r="Q118" i="18"/>
  <c r="T118" i="18" s="1"/>
  <c r="R118" i="18"/>
  <c r="S118" i="18"/>
  <c r="O121" i="18"/>
  <c r="P121" i="18"/>
  <c r="T121" i="18"/>
  <c r="U121" i="18"/>
  <c r="L122" i="18"/>
  <c r="O122" i="18" s="1"/>
  <c r="M122" i="18"/>
  <c r="N122" i="18"/>
  <c r="N120" i="18" s="1"/>
  <c r="Q122" i="18"/>
  <c r="Q120" i="18" s="1"/>
  <c r="R122" i="18"/>
  <c r="S122" i="18"/>
  <c r="O124" i="18"/>
  <c r="P124" i="18"/>
  <c r="T124" i="18"/>
  <c r="U124" i="18"/>
  <c r="L125" i="18"/>
  <c r="O125" i="18" s="1"/>
  <c r="M125" i="18"/>
  <c r="M123" i="18" s="1"/>
  <c r="P123" i="18" s="1"/>
  <c r="N125" i="18"/>
  <c r="N123" i="18" s="1"/>
  <c r="Q125" i="18"/>
  <c r="Q123" i="18" s="1"/>
  <c r="T123" i="18" s="1"/>
  <c r="R125" i="18"/>
  <c r="U125" i="18" s="1"/>
  <c r="S125" i="18"/>
  <c r="S123" i="18" s="1"/>
  <c r="I127" i="18"/>
  <c r="K127" i="18" s="1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O140" i="18"/>
  <c r="Q140" i="18"/>
  <c r="T140" i="18" s="1"/>
  <c r="R140" i="18"/>
  <c r="U140" i="18" s="1"/>
  <c r="S140" i="18"/>
  <c r="O143" i="18"/>
  <c r="P143" i="18"/>
  <c r="T143" i="18"/>
  <c r="U143" i="18"/>
  <c r="L144" i="18"/>
  <c r="M144" i="18"/>
  <c r="N144" i="18"/>
  <c r="N142" i="18" s="1"/>
  <c r="Q144" i="18"/>
  <c r="Q142" i="18" s="1"/>
  <c r="R144" i="18"/>
  <c r="R142" i="18" s="1"/>
  <c r="S144" i="18"/>
  <c r="S142" i="18" s="1"/>
  <c r="O146" i="18"/>
  <c r="P146" i="18"/>
  <c r="T146" i="18"/>
  <c r="U146" i="18"/>
  <c r="L147" i="18"/>
  <c r="L145" i="18" s="1"/>
  <c r="O145" i="18" s="1"/>
  <c r="M147" i="18"/>
  <c r="P147" i="18" s="1"/>
  <c r="N147" i="18"/>
  <c r="N145" i="18" s="1"/>
  <c r="Q147" i="18"/>
  <c r="R147" i="18"/>
  <c r="S147" i="18"/>
  <c r="S145" i="18" s="1"/>
  <c r="I150" i="18"/>
  <c r="K150" i="18" s="1"/>
  <c r="I151" i="18"/>
  <c r="K151" i="18" s="1"/>
  <c r="I152" i="18"/>
  <c r="K152" i="18" s="1"/>
  <c r="I153" i="18"/>
  <c r="I138" i="18" s="1"/>
  <c r="K138" i="18" s="1"/>
  <c r="I154" i="18"/>
  <c r="I136" i="18" s="1"/>
  <c r="K136" i="18" s="1"/>
  <c r="J156" i="18"/>
  <c r="L158" i="18"/>
  <c r="M158" i="18"/>
  <c r="N158" i="18"/>
  <c r="P158" i="18"/>
  <c r="Q158" i="18"/>
  <c r="T158" i="18" s="1"/>
  <c r="R158" i="18"/>
  <c r="S158" i="18"/>
  <c r="O161" i="18"/>
  <c r="P161" i="18"/>
  <c r="T161" i="18"/>
  <c r="U161" i="18"/>
  <c r="L162" i="18"/>
  <c r="M162" i="18"/>
  <c r="M160" i="18" s="1"/>
  <c r="N162" i="18"/>
  <c r="N160" i="18" s="1"/>
  <c r="Q162" i="18"/>
  <c r="Q160" i="18" s="1"/>
  <c r="T160" i="18" s="1"/>
  <c r="R162" i="18"/>
  <c r="S162" i="18"/>
  <c r="Q163" i="18"/>
  <c r="R163" i="18"/>
  <c r="U163" i="18" s="1"/>
  <c r="S163" i="18"/>
  <c r="T163" i="18"/>
  <c r="O164" i="18"/>
  <c r="P164" i="18"/>
  <c r="T164" i="18"/>
  <c r="U164" i="18"/>
  <c r="L165" i="18"/>
  <c r="M165" i="18"/>
  <c r="N165" i="18"/>
  <c r="N163" i="18" s="1"/>
  <c r="T165" i="18"/>
  <c r="U165" i="18"/>
  <c r="I167" i="18"/>
  <c r="K167" i="18" s="1"/>
  <c r="J172" i="18"/>
  <c r="L174" i="18"/>
  <c r="M174" i="18"/>
  <c r="P174" i="18" s="1"/>
  <c r="N174" i="18"/>
  <c r="Q174" i="18"/>
  <c r="T174" i="18" s="1"/>
  <c r="R174" i="18"/>
  <c r="S174" i="18"/>
  <c r="O177" i="18"/>
  <c r="P177" i="18"/>
  <c r="T177" i="18"/>
  <c r="U177" i="18"/>
  <c r="L178" i="18"/>
  <c r="M178" i="18"/>
  <c r="N178" i="18"/>
  <c r="Q178" i="18"/>
  <c r="R178" i="18"/>
  <c r="R175" i="18" s="1"/>
  <c r="U175" i="18" s="1"/>
  <c r="S178" i="18"/>
  <c r="S175" i="18" s="1"/>
  <c r="S173" i="18" s="1"/>
  <c r="Q179" i="18"/>
  <c r="T179" i="18" s="1"/>
  <c r="R179" i="18"/>
  <c r="U179" i="18" s="1"/>
  <c r="S179" i="18"/>
  <c r="O180" i="18"/>
  <c r="P180" i="18"/>
  <c r="T180" i="18"/>
  <c r="U180" i="18"/>
  <c r="L181" i="18"/>
  <c r="L179" i="18" s="1"/>
  <c r="O179" i="18" s="1"/>
  <c r="M181" i="18"/>
  <c r="P181" i="18" s="1"/>
  <c r="N181" i="18"/>
  <c r="T181" i="18"/>
  <c r="U181" i="18"/>
  <c r="I183" i="18"/>
  <c r="I172" i="18" s="1"/>
  <c r="K184" i="18"/>
  <c r="L187" i="18"/>
  <c r="M187" i="18"/>
  <c r="P187" i="18" s="1"/>
  <c r="N187" i="18"/>
  <c r="O187" i="18"/>
  <c r="Q187" i="18"/>
  <c r="T187" i="18" s="1"/>
  <c r="R187" i="18"/>
  <c r="S187" i="18"/>
  <c r="U187" i="18"/>
  <c r="O190" i="18"/>
  <c r="P190" i="18"/>
  <c r="T190" i="18"/>
  <c r="U190" i="18"/>
  <c r="L191" i="18"/>
  <c r="M191" i="18"/>
  <c r="M189" i="18" s="1"/>
  <c r="N191" i="18"/>
  <c r="Q191" i="18"/>
  <c r="R191" i="18"/>
  <c r="S191" i="18"/>
  <c r="S189" i="18" s="1"/>
  <c r="O193" i="18"/>
  <c r="P193" i="18"/>
  <c r="T193" i="18"/>
  <c r="U193" i="18"/>
  <c r="L194" i="18"/>
  <c r="M194" i="18"/>
  <c r="N194" i="18"/>
  <c r="N192" i="18" s="1"/>
  <c r="Q194" i="18"/>
  <c r="Q192" i="18" s="1"/>
  <c r="T192" i="18" s="1"/>
  <c r="R194" i="18"/>
  <c r="R192" i="18" s="1"/>
  <c r="U192" i="18" s="1"/>
  <c r="S194" i="18"/>
  <c r="S192" i="18" s="1"/>
  <c r="J195" i="18"/>
  <c r="L196" i="18"/>
  <c r="O196" i="18" s="1"/>
  <c r="P196" i="18"/>
  <c r="I198" i="18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K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K229" i="18" s="1"/>
  <c r="I230" i="18"/>
  <c r="K230" i="18" s="1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K251" i="18"/>
  <c r="K252" i="18"/>
  <c r="J253" i="18"/>
  <c r="N254" i="18"/>
  <c r="N232" i="18" s="1"/>
  <c r="P254" i="18"/>
  <c r="L255" i="18"/>
  <c r="L256" i="18"/>
  <c r="L257" i="18"/>
  <c r="L258" i="18"/>
  <c r="I260" i="18"/>
  <c r="I253" i="18" s="1"/>
  <c r="K253" i="18" s="1"/>
  <c r="K262" i="18"/>
  <c r="K263" i="18"/>
  <c r="J265" i="18"/>
  <c r="L267" i="18"/>
  <c r="M267" i="18"/>
  <c r="N267" i="18"/>
  <c r="O267" i="18"/>
  <c r="P267" i="18"/>
  <c r="Q267" i="18"/>
  <c r="T267" i="18" s="1"/>
  <c r="R267" i="18"/>
  <c r="S267" i="18"/>
  <c r="U267" i="18"/>
  <c r="O270" i="18"/>
  <c r="P270" i="18"/>
  <c r="T270" i="18"/>
  <c r="U270" i="18"/>
  <c r="L271" i="18"/>
  <c r="M271" i="18"/>
  <c r="N271" i="18"/>
  <c r="Q271" i="18"/>
  <c r="Q269" i="18" s="1"/>
  <c r="R271" i="18"/>
  <c r="R269" i="18" s="1"/>
  <c r="S271" i="18"/>
  <c r="S269" i="18" s="1"/>
  <c r="Q272" i="18"/>
  <c r="R272" i="18"/>
  <c r="U272" i="18" s="1"/>
  <c r="S272" i="18"/>
  <c r="T272" i="18"/>
  <c r="O273" i="18"/>
  <c r="P273" i="18"/>
  <c r="T273" i="18"/>
  <c r="U273" i="18"/>
  <c r="L274" i="18"/>
  <c r="O274" i="18" s="1"/>
  <c r="M274" i="18"/>
  <c r="P274" i="18" s="1"/>
  <c r="N274" i="18"/>
  <c r="N272" i="18" s="1"/>
  <c r="T274" i="18"/>
  <c r="U274" i="18"/>
  <c r="I276" i="18"/>
  <c r="K276" i="18" s="1"/>
  <c r="J281" i="18"/>
  <c r="Q282" i="18"/>
  <c r="T282" i="18" s="1"/>
  <c r="L283" i="18"/>
  <c r="M283" i="18"/>
  <c r="N283" i="18"/>
  <c r="O283" i="18"/>
  <c r="Q283" i="18"/>
  <c r="T283" i="18" s="1"/>
  <c r="R283" i="18"/>
  <c r="U283" i="18" s="1"/>
  <c r="S283" i="18"/>
  <c r="Q284" i="18"/>
  <c r="T284" i="18" s="1"/>
  <c r="R284" i="18"/>
  <c r="U284" i="18" s="1"/>
  <c r="S284" i="18"/>
  <c r="Q285" i="18"/>
  <c r="R285" i="18"/>
  <c r="S285" i="18"/>
  <c r="T285" i="18"/>
  <c r="U285" i="18"/>
  <c r="O286" i="18"/>
  <c r="P286" i="18"/>
  <c r="T286" i="18"/>
  <c r="U286" i="18"/>
  <c r="L287" i="18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O290" i="18" s="1"/>
  <c r="M290" i="18"/>
  <c r="M288" i="18" s="1"/>
  <c r="P288" i="18" s="1"/>
  <c r="N290" i="18"/>
  <c r="N288" i="18" s="1"/>
  <c r="T290" i="18"/>
  <c r="U290" i="18"/>
  <c r="I292" i="18"/>
  <c r="K292" i="18" s="1"/>
  <c r="I293" i="18"/>
  <c r="I280" i="18" s="1"/>
  <c r="J293" i="18"/>
  <c r="J280" i="18" s="1"/>
  <c r="I295" i="18"/>
  <c r="K295" i="18" s="1"/>
  <c r="I296" i="18"/>
  <c r="K296" i="18" s="1"/>
  <c r="I298" i="18"/>
  <c r="K298" i="18" s="1"/>
  <c r="I299" i="18"/>
  <c r="K299" i="18" s="1"/>
  <c r="J302" i="18"/>
  <c r="L304" i="18"/>
  <c r="O304" i="18" s="1"/>
  <c r="M304" i="18"/>
  <c r="N304" i="18"/>
  <c r="Q304" i="18"/>
  <c r="R304" i="18"/>
  <c r="U304" i="18" s="1"/>
  <c r="S304" i="18"/>
  <c r="T304" i="18"/>
  <c r="O307" i="18"/>
  <c r="P307" i="18"/>
  <c r="T307" i="18"/>
  <c r="U307" i="18"/>
  <c r="L308" i="18"/>
  <c r="L306" i="18" s="1"/>
  <c r="M308" i="18"/>
  <c r="M306" i="18" s="1"/>
  <c r="N308" i="18"/>
  <c r="Q308" i="18"/>
  <c r="R308" i="18"/>
  <c r="S308" i="18"/>
  <c r="S306" i="18" s="1"/>
  <c r="Q309" i="18"/>
  <c r="T309" i="18" s="1"/>
  <c r="R309" i="18"/>
  <c r="U309" i="18" s="1"/>
  <c r="S309" i="18"/>
  <c r="O310" i="18"/>
  <c r="P310" i="18"/>
  <c r="T310" i="18"/>
  <c r="U310" i="18"/>
  <c r="L311" i="18"/>
  <c r="M311" i="18"/>
  <c r="M309" i="18" s="1"/>
  <c r="P309" i="18" s="1"/>
  <c r="N311" i="18"/>
  <c r="N309" i="18" s="1"/>
  <c r="T311" i="18"/>
  <c r="U311" i="18"/>
  <c r="I314" i="18"/>
  <c r="K314" i="18" s="1"/>
  <c r="J319" i="18"/>
  <c r="L321" i="18"/>
  <c r="O321" i="18" s="1"/>
  <c r="M321" i="18"/>
  <c r="P321" i="18" s="1"/>
  <c r="N321" i="18"/>
  <c r="Q321" i="18"/>
  <c r="R321" i="18"/>
  <c r="U321" i="18" s="1"/>
  <c r="S321" i="18"/>
  <c r="Q322" i="18"/>
  <c r="R322" i="18"/>
  <c r="U322" i="18" s="1"/>
  <c r="S322" i="18"/>
  <c r="S320" i="18" s="1"/>
  <c r="T322" i="18"/>
  <c r="Q323" i="18"/>
  <c r="T323" i="18" s="1"/>
  <c r="R323" i="18"/>
  <c r="S323" i="18"/>
  <c r="U323" i="18"/>
  <c r="O324" i="18"/>
  <c r="P324" i="18"/>
  <c r="T324" i="18"/>
  <c r="U324" i="18"/>
  <c r="L325" i="18"/>
  <c r="L323" i="18" s="1"/>
  <c r="M325" i="18"/>
  <c r="N325" i="18"/>
  <c r="T325" i="18"/>
  <c r="U325" i="18"/>
  <c r="Q326" i="18"/>
  <c r="R326" i="18"/>
  <c r="U326" i="18" s="1"/>
  <c r="S326" i="18"/>
  <c r="T326" i="18"/>
  <c r="O327" i="18"/>
  <c r="P327" i="18"/>
  <c r="T327" i="18"/>
  <c r="U327" i="18"/>
  <c r="L328" i="18"/>
  <c r="M328" i="18"/>
  <c r="M326" i="18" s="1"/>
  <c r="P326" i="18" s="1"/>
  <c r="N328" i="18"/>
  <c r="N326" i="18" s="1"/>
  <c r="T328" i="18"/>
  <c r="U328" i="18"/>
  <c r="I330" i="18"/>
  <c r="I319" i="18" s="1"/>
  <c r="I332" i="18"/>
  <c r="L334" i="18"/>
  <c r="M334" i="18"/>
  <c r="P334" i="18" s="1"/>
  <c r="N334" i="18"/>
  <c r="Q334" i="18"/>
  <c r="R334" i="18"/>
  <c r="S334" i="18"/>
  <c r="T334" i="18"/>
  <c r="Q335" i="18"/>
  <c r="T335" i="18" s="1"/>
  <c r="R335" i="18"/>
  <c r="S335" i="18"/>
  <c r="U335" i="18"/>
  <c r="Q336" i="18"/>
  <c r="R336" i="18"/>
  <c r="U336" i="18" s="1"/>
  <c r="S336" i="18"/>
  <c r="T336" i="18"/>
  <c r="O337" i="18"/>
  <c r="P337" i="18"/>
  <c r="T337" i="18"/>
  <c r="U337" i="18"/>
  <c r="L338" i="18"/>
  <c r="L336" i="18" s="1"/>
  <c r="M338" i="18"/>
  <c r="M336" i="18" s="1"/>
  <c r="N338" i="18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M341" i="18"/>
  <c r="M339" i="18" s="1"/>
  <c r="P339" i="18" s="1"/>
  <c r="N341" i="18"/>
  <c r="N339" i="18" s="1"/>
  <c r="T341" i="18"/>
  <c r="U341" i="18"/>
  <c r="J344" i="18"/>
  <c r="K344" i="18"/>
  <c r="I346" i="18"/>
  <c r="J346" i="18"/>
  <c r="J347" i="18"/>
  <c r="J348" i="18"/>
  <c r="J349" i="18"/>
  <c r="D350" i="18"/>
  <c r="J352" i="18"/>
  <c r="J353" i="18"/>
  <c r="J354" i="18"/>
  <c r="L357" i="18"/>
  <c r="M357" i="18"/>
  <c r="N357" i="18"/>
  <c r="O357" i="18"/>
  <c r="P357" i="18"/>
  <c r="Q357" i="18"/>
  <c r="R357" i="18"/>
  <c r="R356" i="18" s="1"/>
  <c r="U356" i="18" s="1"/>
  <c r="S357" i="18"/>
  <c r="T357" i="18"/>
  <c r="U357" i="18"/>
  <c r="Q358" i="18"/>
  <c r="T358" i="18" s="1"/>
  <c r="R358" i="18"/>
  <c r="U358" i="18" s="1"/>
  <c r="S358" i="18"/>
  <c r="S356" i="18" s="1"/>
  <c r="Q359" i="18"/>
  <c r="R359" i="18"/>
  <c r="U359" i="18" s="1"/>
  <c r="S359" i="18"/>
  <c r="T359" i="18"/>
  <c r="O360" i="18"/>
  <c r="P360" i="18"/>
  <c r="T360" i="18"/>
  <c r="U360" i="18"/>
  <c r="L361" i="18"/>
  <c r="M361" i="18"/>
  <c r="N361" i="18"/>
  <c r="T361" i="18"/>
  <c r="U361" i="18"/>
  <c r="Q362" i="18"/>
  <c r="R362" i="18"/>
  <c r="U362" i="18" s="1"/>
  <c r="S362" i="18"/>
  <c r="T362" i="18"/>
  <c r="O363" i="18"/>
  <c r="P363" i="18"/>
  <c r="T363" i="18"/>
  <c r="U363" i="18"/>
  <c r="L364" i="18"/>
  <c r="O364" i="18" s="1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L376" i="18"/>
  <c r="M376" i="18"/>
  <c r="P376" i="18" s="1"/>
  <c r="N376" i="18"/>
  <c r="Q376" i="18"/>
  <c r="T376" i="18" s="1"/>
  <c r="R376" i="18"/>
  <c r="S376" i="18"/>
  <c r="O379" i="18"/>
  <c r="P379" i="18"/>
  <c r="T379" i="18"/>
  <c r="U379" i="18"/>
  <c r="L380" i="18"/>
  <c r="L378" i="18" s="1"/>
  <c r="O378" i="18" s="1"/>
  <c r="M380" i="18"/>
  <c r="N380" i="18"/>
  <c r="N378" i="18" s="1"/>
  <c r="Q380" i="18"/>
  <c r="R380" i="18"/>
  <c r="R377" i="18" s="1"/>
  <c r="S380" i="18"/>
  <c r="S377" i="18" s="1"/>
  <c r="Q381" i="18"/>
  <c r="T381" i="18" s="1"/>
  <c r="R381" i="18"/>
  <c r="U381" i="18" s="1"/>
  <c r="S381" i="18"/>
  <c r="O382" i="18"/>
  <c r="P382" i="18"/>
  <c r="T382" i="18"/>
  <c r="U382" i="18"/>
  <c r="L383" i="18"/>
  <c r="L381" i="18" s="1"/>
  <c r="O381" i="18" s="1"/>
  <c r="M383" i="18"/>
  <c r="P383" i="18" s="1"/>
  <c r="N383" i="18"/>
  <c r="N381" i="18" s="1"/>
  <c r="T383" i="18"/>
  <c r="U383" i="18"/>
  <c r="J385" i="18"/>
  <c r="K385" i="18"/>
  <c r="I386" i="18"/>
  <c r="J386" i="18"/>
  <c r="J387" i="18"/>
  <c r="K387" i="18"/>
  <c r="I388" i="18"/>
  <c r="K388" i="18" s="1"/>
  <c r="J388" i="18"/>
  <c r="I391" i="18"/>
  <c r="K391" i="18" s="1"/>
  <c r="J391" i="18"/>
  <c r="L393" i="18"/>
  <c r="O393" i="18" s="1"/>
  <c r="M393" i="18"/>
  <c r="N393" i="18"/>
  <c r="N392" i="18" s="1"/>
  <c r="Q393" i="18"/>
  <c r="R393" i="18"/>
  <c r="S393" i="18"/>
  <c r="L394" i="18"/>
  <c r="O394" i="18" s="1"/>
  <c r="M394" i="18"/>
  <c r="P394" i="18" s="1"/>
  <c r="N394" i="18"/>
  <c r="L395" i="18"/>
  <c r="M395" i="18"/>
  <c r="P395" i="18" s="1"/>
  <c r="N395" i="18"/>
  <c r="O395" i="18"/>
  <c r="O396" i="18"/>
  <c r="P396" i="18"/>
  <c r="T396" i="18"/>
  <c r="U396" i="18"/>
  <c r="O397" i="18"/>
  <c r="P397" i="18"/>
  <c r="Q397" i="18"/>
  <c r="Q395" i="18" s="1"/>
  <c r="T395" i="18" s="1"/>
  <c r="R397" i="18"/>
  <c r="R395" i="18" s="1"/>
  <c r="U395" i="18" s="1"/>
  <c r="S397" i="18"/>
  <c r="S394" i="18" s="1"/>
  <c r="L398" i="18"/>
  <c r="O398" i="18" s="1"/>
  <c r="M398" i="18"/>
  <c r="P398" i="18" s="1"/>
  <c r="N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P414" i="18" s="1"/>
  <c r="N414" i="18"/>
  <c r="Q414" i="18"/>
  <c r="R414" i="18"/>
  <c r="S414" i="18"/>
  <c r="U414" i="18"/>
  <c r="O417" i="18"/>
  <c r="P417" i="18"/>
  <c r="T417" i="18"/>
  <c r="U417" i="18"/>
  <c r="L418" i="18"/>
  <c r="M418" i="18"/>
  <c r="N418" i="18"/>
  <c r="Q418" i="18"/>
  <c r="Q415" i="18" s="1"/>
  <c r="R418" i="18"/>
  <c r="R415" i="18" s="1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M421" i="18"/>
  <c r="P421" i="18" s="1"/>
  <c r="N421" i="18"/>
  <c r="N419" i="18" s="1"/>
  <c r="T421" i="18"/>
  <c r="U421" i="18"/>
  <c r="I424" i="18"/>
  <c r="K424" i="18" s="1"/>
  <c r="J424" i="18"/>
  <c r="I425" i="18"/>
  <c r="J425" i="18"/>
  <c r="I432" i="18"/>
  <c r="J432" i="18"/>
  <c r="I433" i="18"/>
  <c r="J433" i="18"/>
  <c r="I440" i="18"/>
  <c r="I423" i="18" s="1"/>
  <c r="I441" i="18"/>
  <c r="J446" i="18"/>
  <c r="J440" i="18" s="1"/>
  <c r="J423" i="18" s="1"/>
  <c r="J412" i="18" s="1"/>
  <c r="J447" i="18"/>
  <c r="J441" i="18" s="1"/>
  <c r="I457" i="18"/>
  <c r="I456" i="18" s="1"/>
  <c r="I458" i="18"/>
  <c r="J459" i="18"/>
  <c r="J460" i="18"/>
  <c r="J458" i="18" s="1"/>
  <c r="J467" i="18"/>
  <c r="J468" i="18"/>
  <c r="J475" i="18"/>
  <c r="K475" i="18"/>
  <c r="J476" i="18"/>
  <c r="K476" i="18"/>
  <c r="J477" i="18"/>
  <c r="K477" i="18"/>
  <c r="I484" i="18"/>
  <c r="K484" i="18" s="1"/>
  <c r="J484" i="18"/>
  <c r="I485" i="18"/>
  <c r="J485" i="18"/>
  <c r="L494" i="18"/>
  <c r="O494" i="18" s="1"/>
  <c r="M494" i="18"/>
  <c r="P494" i="18" s="1"/>
  <c r="N494" i="18"/>
  <c r="Q494" i="18"/>
  <c r="R494" i="18"/>
  <c r="U494" i="18" s="1"/>
  <c r="S494" i="18"/>
  <c r="O497" i="18"/>
  <c r="P497" i="18"/>
  <c r="T497" i="18"/>
  <c r="U497" i="18"/>
  <c r="L498" i="18"/>
  <c r="M498" i="18"/>
  <c r="N498" i="18"/>
  <c r="Q498" i="18"/>
  <c r="Q496" i="18" s="1"/>
  <c r="R498" i="18"/>
  <c r="R495" i="18" s="1"/>
  <c r="S498" i="18"/>
  <c r="S495" i="18" s="1"/>
  <c r="S493" i="18" s="1"/>
  <c r="Q499" i="18"/>
  <c r="R499" i="18"/>
  <c r="S499" i="18"/>
  <c r="T499" i="18"/>
  <c r="U499" i="18"/>
  <c r="O500" i="18"/>
  <c r="P500" i="18"/>
  <c r="T500" i="18"/>
  <c r="U500" i="18"/>
  <c r="L501" i="18"/>
  <c r="M501" i="18"/>
  <c r="P501" i="18" s="1"/>
  <c r="N501" i="18"/>
  <c r="N499" i="18" s="1"/>
  <c r="T501" i="18"/>
  <c r="U501" i="18"/>
  <c r="I503" i="18"/>
  <c r="J503" i="18"/>
  <c r="J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Q513" i="18"/>
  <c r="T513" i="18" s="1"/>
  <c r="L514" i="18"/>
  <c r="M514" i="18"/>
  <c r="N514" i="18"/>
  <c r="O514" i="18"/>
  <c r="Q514" i="18"/>
  <c r="T514" i="18" s="1"/>
  <c r="R514" i="18"/>
  <c r="R513" i="18" s="1"/>
  <c r="U513" i="18" s="1"/>
  <c r="S514" i="18"/>
  <c r="U514" i="18"/>
  <c r="Q515" i="18"/>
  <c r="T515" i="18" s="1"/>
  <c r="R515" i="18"/>
  <c r="S515" i="18"/>
  <c r="U515" i="18"/>
  <c r="Q516" i="18"/>
  <c r="T516" i="18" s="1"/>
  <c r="R516" i="18"/>
  <c r="S516" i="18"/>
  <c r="U516" i="18"/>
  <c r="O517" i="18"/>
  <c r="P517" i="18"/>
  <c r="T517" i="18"/>
  <c r="U517" i="18"/>
  <c r="L518" i="18"/>
  <c r="M518" i="18"/>
  <c r="N518" i="18"/>
  <c r="N516" i="18" s="1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M521" i="18"/>
  <c r="N521" i="18"/>
  <c r="N519" i="18" s="1"/>
  <c r="T521" i="18"/>
  <c r="U521" i="18"/>
  <c r="K523" i="18"/>
  <c r="K524" i="18"/>
  <c r="I533" i="18"/>
  <c r="K533" i="18" s="1"/>
  <c r="J533" i="18"/>
  <c r="S534" i="18"/>
  <c r="L535" i="18"/>
  <c r="O535" i="18" s="1"/>
  <c r="M535" i="18"/>
  <c r="N535" i="18"/>
  <c r="P535" i="18"/>
  <c r="Q535" i="18"/>
  <c r="T535" i="18" s="1"/>
  <c r="R535" i="18"/>
  <c r="S535" i="18"/>
  <c r="Q536" i="18"/>
  <c r="T536" i="18" s="1"/>
  <c r="R536" i="18"/>
  <c r="U536" i="18" s="1"/>
  <c r="S536" i="18"/>
  <c r="Q537" i="18"/>
  <c r="R537" i="18"/>
  <c r="U537" i="18" s="1"/>
  <c r="S537" i="18"/>
  <c r="T537" i="18"/>
  <c r="O538" i="18"/>
  <c r="P538" i="18"/>
  <c r="T538" i="18"/>
  <c r="U538" i="18"/>
  <c r="L539" i="18"/>
  <c r="M539" i="18"/>
  <c r="M537" i="18" s="1"/>
  <c r="P537" i="18" s="1"/>
  <c r="N539" i="18"/>
  <c r="N537" i="18" s="1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L540" i="18" s="1"/>
  <c r="O540" i="18" s="1"/>
  <c r="M542" i="18"/>
  <c r="P542" i="18" s="1"/>
  <c r="N542" i="18"/>
  <c r="N540" i="18" s="1"/>
  <c r="T542" i="18"/>
  <c r="U542" i="18"/>
  <c r="I554" i="18"/>
  <c r="J554" i="18"/>
  <c r="K554" i="18"/>
  <c r="L556" i="18"/>
  <c r="M556" i="18"/>
  <c r="P556" i="18" s="1"/>
  <c r="N556" i="18"/>
  <c r="Q556" i="18"/>
  <c r="R556" i="18"/>
  <c r="U556" i="18" s="1"/>
  <c r="S556" i="18"/>
  <c r="T556" i="18"/>
  <c r="Q557" i="18"/>
  <c r="T557" i="18" s="1"/>
  <c r="R557" i="18"/>
  <c r="U557" i="18" s="1"/>
  <c r="S557" i="18"/>
  <c r="Q558" i="18"/>
  <c r="T558" i="18" s="1"/>
  <c r="R558" i="18"/>
  <c r="U558" i="18" s="1"/>
  <c r="S558" i="18"/>
  <c r="O559" i="18"/>
  <c r="P559" i="18"/>
  <c r="T559" i="18"/>
  <c r="U559" i="18"/>
  <c r="L560" i="18"/>
  <c r="O560" i="18" s="1"/>
  <c r="M560" i="18"/>
  <c r="N560" i="18"/>
  <c r="N558" i="18" s="1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M563" i="18"/>
  <c r="M561" i="18" s="1"/>
  <c r="P561" i="18" s="1"/>
  <c r="N563" i="18"/>
  <c r="N561" i="18" s="1"/>
  <c r="T563" i="18"/>
  <c r="U563" i="18"/>
  <c r="I575" i="18"/>
  <c r="K575" i="18" s="1"/>
  <c r="J575" i="18"/>
  <c r="L577" i="18"/>
  <c r="M577" i="18"/>
  <c r="P577" i="18" s="1"/>
  <c r="N577" i="18"/>
  <c r="O577" i="18"/>
  <c r="Q577" i="18"/>
  <c r="Q576" i="18" s="1"/>
  <c r="T576" i="18" s="1"/>
  <c r="R577" i="18"/>
  <c r="S577" i="18"/>
  <c r="U577" i="18"/>
  <c r="Q578" i="18"/>
  <c r="R578" i="18"/>
  <c r="U578" i="18" s="1"/>
  <c r="S578" i="18"/>
  <c r="T578" i="18"/>
  <c r="Q579" i="18"/>
  <c r="R579" i="18"/>
  <c r="S579" i="18"/>
  <c r="T579" i="18"/>
  <c r="U579" i="18"/>
  <c r="O580" i="18"/>
  <c r="P580" i="18"/>
  <c r="T580" i="18"/>
  <c r="U580" i="18"/>
  <c r="L581" i="18"/>
  <c r="O581" i="18" s="1"/>
  <c r="M581" i="18"/>
  <c r="M579" i="18" s="1"/>
  <c r="P579" i="18" s="1"/>
  <c r="N581" i="18"/>
  <c r="T581" i="18"/>
  <c r="U581" i="18"/>
  <c r="Q582" i="18"/>
  <c r="T582" i="18" s="1"/>
  <c r="R582" i="18"/>
  <c r="U582" i="18" s="1"/>
  <c r="S582" i="18"/>
  <c r="O583" i="18"/>
  <c r="P583" i="18"/>
  <c r="T583" i="18"/>
  <c r="U583" i="18"/>
  <c r="L584" i="18"/>
  <c r="M584" i="18"/>
  <c r="M582" i="18" s="1"/>
  <c r="P582" i="18" s="1"/>
  <c r="N584" i="18"/>
  <c r="N582" i="18" s="1"/>
  <c r="T584" i="18"/>
  <c r="U584" i="18"/>
  <c r="L600" i="18"/>
  <c r="O600" i="18" s="1"/>
  <c r="M600" i="18"/>
  <c r="N600" i="18"/>
  <c r="P600" i="18"/>
  <c r="Q600" i="18"/>
  <c r="R600" i="18"/>
  <c r="S600" i="18"/>
  <c r="U600" i="18"/>
  <c r="O603" i="18"/>
  <c r="P603" i="18"/>
  <c r="T603" i="18"/>
  <c r="U603" i="18"/>
  <c r="L604" i="18"/>
  <c r="M604" i="18"/>
  <c r="M602" i="18" s="1"/>
  <c r="N604" i="18"/>
  <c r="N602" i="18" s="1"/>
  <c r="Q604" i="18"/>
  <c r="Q602" i="18" s="1"/>
  <c r="T602" i="18" s="1"/>
  <c r="R604" i="18"/>
  <c r="U604" i="18" s="1"/>
  <c r="S604" i="18"/>
  <c r="S602" i="18" s="1"/>
  <c r="O606" i="18"/>
  <c r="P606" i="18"/>
  <c r="T606" i="18"/>
  <c r="U606" i="18"/>
  <c r="L607" i="18"/>
  <c r="M607" i="18"/>
  <c r="N607" i="18"/>
  <c r="N605" i="18" s="1"/>
  <c r="Q607" i="18"/>
  <c r="Q605" i="18" s="1"/>
  <c r="T605" i="18" s="1"/>
  <c r="R607" i="18"/>
  <c r="U607" i="18" s="1"/>
  <c r="S607" i="18"/>
  <c r="S605" i="18" s="1"/>
  <c r="L616" i="18"/>
  <c r="O616" i="18" s="1"/>
  <c r="M616" i="18"/>
  <c r="P616" i="18" s="1"/>
  <c r="L617" i="18"/>
  <c r="O617" i="18" s="1"/>
  <c r="M617" i="18"/>
  <c r="P617" i="18" s="1"/>
  <c r="N617" i="18"/>
  <c r="Q617" i="18"/>
  <c r="T617" i="18" s="1"/>
  <c r="R617" i="18"/>
  <c r="S617" i="18"/>
  <c r="L618" i="18"/>
  <c r="O618" i="18" s="1"/>
  <c r="M618" i="18"/>
  <c r="P618" i="18" s="1"/>
  <c r="N618" i="18"/>
  <c r="L619" i="18"/>
  <c r="O619" i="18" s="1"/>
  <c r="M619" i="18"/>
  <c r="N619" i="18"/>
  <c r="P619" i="18"/>
  <c r="O620" i="18"/>
  <c r="P620" i="18"/>
  <c r="T620" i="18"/>
  <c r="U620" i="18"/>
  <c r="O621" i="18"/>
  <c r="P621" i="18"/>
  <c r="Q621" i="18"/>
  <c r="Q619" i="18" s="1"/>
  <c r="R621" i="18"/>
  <c r="R619" i="18" s="1"/>
  <c r="S621" i="18"/>
  <c r="L622" i="18"/>
  <c r="M622" i="18"/>
  <c r="P622" i="18" s="1"/>
  <c r="N622" i="18"/>
  <c r="O622" i="18"/>
  <c r="Q622" i="18"/>
  <c r="T622" i="18" s="1"/>
  <c r="R622" i="18"/>
  <c r="S622" i="18"/>
  <c r="U622" i="18"/>
  <c r="O623" i="18"/>
  <c r="P623" i="18"/>
  <c r="T623" i="18"/>
  <c r="U623" i="18"/>
  <c r="O624" i="18"/>
  <c r="P624" i="18"/>
  <c r="T624" i="18"/>
  <c r="U624" i="18"/>
  <c r="I626" i="18"/>
  <c r="K632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O643" i="18" s="1"/>
  <c r="M643" i="18"/>
  <c r="N643" i="18"/>
  <c r="N642" i="18" s="1"/>
  <c r="P643" i="18"/>
  <c r="Q643" i="18"/>
  <c r="T643" i="18" s="1"/>
  <c r="R643" i="18"/>
  <c r="S643" i="18"/>
  <c r="L644" i="18"/>
  <c r="L642" i="18" s="1"/>
  <c r="O642" i="18" s="1"/>
  <c r="M644" i="18"/>
  <c r="P644" i="18" s="1"/>
  <c r="N644" i="18"/>
  <c r="O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R647" i="18"/>
  <c r="R644" i="18" s="1"/>
  <c r="S647" i="18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J654" i="18"/>
  <c r="I657" i="18"/>
  <c r="I660" i="18"/>
  <c r="I661" i="18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J679" i="18"/>
  <c r="J680" i="18"/>
  <c r="I681" i="18"/>
  <c r="J681" i="18"/>
  <c r="I682" i="18"/>
  <c r="K682" i="18" s="1"/>
  <c r="J682" i="18"/>
  <c r="L691" i="18"/>
  <c r="O691" i="18" s="1"/>
  <c r="M691" i="18"/>
  <c r="N691" i="18"/>
  <c r="N690" i="18" s="1"/>
  <c r="P691" i="18"/>
  <c r="Q691" i="18"/>
  <c r="R691" i="18"/>
  <c r="U691" i="18" s="1"/>
  <c r="S691" i="18"/>
  <c r="L692" i="18"/>
  <c r="O692" i="18" s="1"/>
  <c r="M692" i="18"/>
  <c r="M690" i="18" s="1"/>
  <c r="P690" i="18" s="1"/>
  <c r="N692" i="18"/>
  <c r="L693" i="18"/>
  <c r="M693" i="18"/>
  <c r="N693" i="18"/>
  <c r="O693" i="18"/>
  <c r="P693" i="18"/>
  <c r="O694" i="18"/>
  <c r="P694" i="18"/>
  <c r="T694" i="18"/>
  <c r="U694" i="18"/>
  <c r="O695" i="18"/>
  <c r="P695" i="18"/>
  <c r="Q695" i="18"/>
  <c r="R695" i="18"/>
  <c r="R692" i="18" s="1"/>
  <c r="S695" i="18"/>
  <c r="S693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Q715" i="18"/>
  <c r="R715" i="18"/>
  <c r="S715" i="18"/>
  <c r="S714" i="18" s="1"/>
  <c r="T715" i="18"/>
  <c r="L716" i="18"/>
  <c r="O716" i="18" s="1"/>
  <c r="M716" i="18"/>
  <c r="P716" i="18" s="1"/>
  <c r="N716" i="18"/>
  <c r="Q716" i="18"/>
  <c r="Q714" i="18" s="1"/>
  <c r="T714" i="18" s="1"/>
  <c r="R716" i="18"/>
  <c r="U716" i="18" s="1"/>
  <c r="S716" i="18"/>
  <c r="L717" i="18"/>
  <c r="O717" i="18" s="1"/>
  <c r="M717" i="18"/>
  <c r="P717" i="18" s="1"/>
  <c r="N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R720" i="18"/>
  <c r="U720" i="18" s="1"/>
  <c r="S720" i="18"/>
  <c r="T720" i="18"/>
  <c r="O721" i="18"/>
  <c r="P721" i="18"/>
  <c r="T721" i="18"/>
  <c r="U721" i="18"/>
  <c r="O722" i="18"/>
  <c r="P722" i="18"/>
  <c r="T722" i="18"/>
  <c r="U722" i="18"/>
  <c r="I726" i="18"/>
  <c r="J726" i="18"/>
  <c r="I727" i="18"/>
  <c r="J727" i="18"/>
  <c r="M728" i="18"/>
  <c r="P728" i="18" s="1"/>
  <c r="L729" i="18"/>
  <c r="O729" i="18" s="1"/>
  <c r="M729" i="18"/>
  <c r="P729" i="18" s="1"/>
  <c r="N729" i="18"/>
  <c r="Q729" i="18"/>
  <c r="T729" i="18" s="1"/>
  <c r="R729" i="18"/>
  <c r="S729" i="18"/>
  <c r="L730" i="18"/>
  <c r="O730" i="18" s="1"/>
  <c r="M730" i="18"/>
  <c r="N730" i="18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1" i="18" s="1"/>
  <c r="R733" i="18"/>
  <c r="R730" i="18" s="1"/>
  <c r="S733" i="18"/>
  <c r="S730" i="18" s="1"/>
  <c r="S728" i="18" s="1"/>
  <c r="L734" i="18"/>
  <c r="M734" i="18"/>
  <c r="P734" i="18" s="1"/>
  <c r="N734" i="18"/>
  <c r="O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O761" i="18" s="1"/>
  <c r="M761" i="18"/>
  <c r="N761" i="18"/>
  <c r="N760" i="18" s="1"/>
  <c r="Q761" i="18"/>
  <c r="R761" i="18"/>
  <c r="U761" i="18" s="1"/>
  <c r="S761" i="18"/>
  <c r="L762" i="18"/>
  <c r="O762" i="18" s="1"/>
  <c r="M762" i="18"/>
  <c r="P762" i="18" s="1"/>
  <c r="N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R765" i="18"/>
  <c r="R762" i="18" s="1"/>
  <c r="S765" i="18"/>
  <c r="S763" i="18" s="1"/>
  <c r="L766" i="18"/>
  <c r="O766" i="18" s="1"/>
  <c r="M766" i="18"/>
  <c r="P766" i="18" s="1"/>
  <c r="N766" i="18"/>
  <c r="Q766" i="18"/>
  <c r="R766" i="18"/>
  <c r="U766" i="18" s="1"/>
  <c r="S766" i="18"/>
  <c r="T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N22" i="17"/>
  <c r="N19" i="17" s="1"/>
  <c r="O22" i="17"/>
  <c r="Q22" i="17"/>
  <c r="T22" i="17" s="1"/>
  <c r="R22" i="17"/>
  <c r="S22" i="17"/>
  <c r="L25" i="17"/>
  <c r="M25" i="17"/>
  <c r="N25" i="17"/>
  <c r="O25" i="17"/>
  <c r="Q25" i="17"/>
  <c r="T25" i="17" s="1"/>
  <c r="R25" i="17"/>
  <c r="S25" i="17"/>
  <c r="U25" i="17"/>
  <c r="L45" i="17"/>
  <c r="O45" i="17" s="1"/>
  <c r="M45" i="17"/>
  <c r="N45" i="17"/>
  <c r="P45" i="17"/>
  <c r="Q45" i="17"/>
  <c r="Q44" i="17" s="1"/>
  <c r="T44" i="17" s="1"/>
  <c r="R45" i="17"/>
  <c r="U45" i="17" s="1"/>
  <c r="S45" i="17"/>
  <c r="Q46" i="17"/>
  <c r="R46" i="17"/>
  <c r="U46" i="17" s="1"/>
  <c r="S46" i="17"/>
  <c r="T46" i="17"/>
  <c r="Q47" i="17"/>
  <c r="R47" i="17"/>
  <c r="U47" i="17" s="1"/>
  <c r="S47" i="17"/>
  <c r="T47" i="17"/>
  <c r="O48" i="17"/>
  <c r="P48" i="17"/>
  <c r="T48" i="17"/>
  <c r="U48" i="17"/>
  <c r="L49" i="17"/>
  <c r="M49" i="17"/>
  <c r="M47" i="17" s="1"/>
  <c r="N49" i="17"/>
  <c r="N47" i="17" s="1"/>
  <c r="T49" i="17"/>
  <c r="U49" i="17"/>
  <c r="Q50" i="17"/>
  <c r="T50" i="17" s="1"/>
  <c r="R50" i="17"/>
  <c r="U50" i="17" s="1"/>
  <c r="S50" i="17"/>
  <c r="O51" i="17"/>
  <c r="P51" i="17"/>
  <c r="T51" i="17"/>
  <c r="U51" i="17"/>
  <c r="L52" i="17"/>
  <c r="L50" i="17" s="1"/>
  <c r="O50" i="17" s="1"/>
  <c r="M52" i="17"/>
  <c r="N52" i="17"/>
  <c r="T52" i="17"/>
  <c r="U52" i="17"/>
  <c r="L60" i="17"/>
  <c r="O60" i="17" s="1"/>
  <c r="M60" i="17"/>
  <c r="P60" i="17" s="1"/>
  <c r="N60" i="17"/>
  <c r="Q60" i="17"/>
  <c r="Q59" i="17" s="1"/>
  <c r="T59" i="17" s="1"/>
  <c r="R60" i="17"/>
  <c r="U60" i="17" s="1"/>
  <c r="S60" i="17"/>
  <c r="Q61" i="17"/>
  <c r="T61" i="17" s="1"/>
  <c r="R61" i="17"/>
  <c r="U61" i="17" s="1"/>
  <c r="S61" i="17"/>
  <c r="S59" i="17" s="1"/>
  <c r="Q62" i="17"/>
  <c r="T62" i="17" s="1"/>
  <c r="R62" i="17"/>
  <c r="U62" i="17" s="1"/>
  <c r="S62" i="17"/>
  <c r="O63" i="17"/>
  <c r="P63" i="17"/>
  <c r="T63" i="17"/>
  <c r="U63" i="17"/>
  <c r="L64" i="17"/>
  <c r="M64" i="17"/>
  <c r="N64" i="17"/>
  <c r="N62" i="17" s="1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L65" i="17" s="1"/>
  <c r="M67" i="17"/>
  <c r="N67" i="17"/>
  <c r="N65" i="17" s="1"/>
  <c r="T67" i="17"/>
  <c r="U67" i="17"/>
  <c r="L73" i="17"/>
  <c r="O73" i="17" s="1"/>
  <c r="M73" i="17"/>
  <c r="N73" i="17"/>
  <c r="P73" i="17"/>
  <c r="Q73" i="17"/>
  <c r="R73" i="17"/>
  <c r="U73" i="17" s="1"/>
  <c r="S73" i="17"/>
  <c r="T73" i="17"/>
  <c r="O76" i="17"/>
  <c r="P76" i="17"/>
  <c r="T76" i="17"/>
  <c r="U76" i="17"/>
  <c r="L77" i="17"/>
  <c r="M77" i="17"/>
  <c r="N77" i="17"/>
  <c r="N75" i="17" s="1"/>
  <c r="Q77" i="17"/>
  <c r="T77" i="17" s="1"/>
  <c r="R77" i="17"/>
  <c r="R75" i="17" s="1"/>
  <c r="U75" i="17" s="1"/>
  <c r="S77" i="17"/>
  <c r="S75" i="17" s="1"/>
  <c r="O79" i="17"/>
  <c r="P79" i="17"/>
  <c r="T79" i="17"/>
  <c r="U79" i="17"/>
  <c r="L80" i="17"/>
  <c r="L78" i="17" s="1"/>
  <c r="O78" i="17" s="1"/>
  <c r="M80" i="17"/>
  <c r="M78" i="17" s="1"/>
  <c r="P78" i="17" s="1"/>
  <c r="N80" i="17"/>
  <c r="N78" i="17" s="1"/>
  <c r="Q80" i="17"/>
  <c r="T80" i="17" s="1"/>
  <c r="R80" i="17"/>
  <c r="R78" i="17" s="1"/>
  <c r="U78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T95" i="17"/>
  <c r="O98" i="17"/>
  <c r="P98" i="17"/>
  <c r="T98" i="17"/>
  <c r="U98" i="17"/>
  <c r="L99" i="17"/>
  <c r="O99" i="17" s="1"/>
  <c r="M99" i="17"/>
  <c r="M97" i="17" s="1"/>
  <c r="P97" i="17" s="1"/>
  <c r="N99" i="17"/>
  <c r="N97" i="17" s="1"/>
  <c r="Q99" i="17"/>
  <c r="Q97" i="17" s="1"/>
  <c r="T97" i="17" s="1"/>
  <c r="R99" i="17"/>
  <c r="U99" i="17" s="1"/>
  <c r="S99" i="17"/>
  <c r="S96" i="17" s="1"/>
  <c r="Q100" i="17"/>
  <c r="T100" i="17" s="1"/>
  <c r="R100" i="17"/>
  <c r="U100" i="17" s="1"/>
  <c r="S100" i="17"/>
  <c r="O101" i="17"/>
  <c r="P101" i="17"/>
  <c r="T101" i="17"/>
  <c r="U101" i="17"/>
  <c r="L102" i="17"/>
  <c r="O102" i="17" s="1"/>
  <c r="M102" i="17"/>
  <c r="M100" i="17" s="1"/>
  <c r="P100" i="17" s="1"/>
  <c r="N102" i="17"/>
  <c r="N100" i="17" s="1"/>
  <c r="T102" i="17"/>
  <c r="U102" i="17"/>
  <c r="I108" i="17"/>
  <c r="K108" i="17" s="1"/>
  <c r="I109" i="17"/>
  <c r="I114" i="17"/>
  <c r="K114" i="17" s="1"/>
  <c r="J116" i="17"/>
  <c r="L118" i="17"/>
  <c r="M118" i="17"/>
  <c r="P118" i="17" s="1"/>
  <c r="N118" i="17"/>
  <c r="Q118" i="17"/>
  <c r="R118" i="17"/>
  <c r="S118" i="17"/>
  <c r="T118" i="17"/>
  <c r="O121" i="17"/>
  <c r="P121" i="17"/>
  <c r="T121" i="17"/>
  <c r="U121" i="17"/>
  <c r="L122" i="17"/>
  <c r="O122" i="17" s="1"/>
  <c r="M122" i="17"/>
  <c r="N122" i="17"/>
  <c r="N120" i="17" s="1"/>
  <c r="Q122" i="17"/>
  <c r="Q120" i="17" s="1"/>
  <c r="R122" i="17"/>
  <c r="S122" i="17"/>
  <c r="S120" i="17" s="1"/>
  <c r="O124" i="17"/>
  <c r="P124" i="17"/>
  <c r="T124" i="17"/>
  <c r="U124" i="17"/>
  <c r="L125" i="17"/>
  <c r="O125" i="17" s="1"/>
  <c r="M125" i="17"/>
  <c r="N125" i="17"/>
  <c r="N123" i="17" s="1"/>
  <c r="Q125" i="17"/>
  <c r="Q123" i="17" s="1"/>
  <c r="T123" i="17" s="1"/>
  <c r="R125" i="17"/>
  <c r="S125" i="17"/>
  <c r="S123" i="17" s="1"/>
  <c r="I127" i="17"/>
  <c r="K127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O140" i="17"/>
  <c r="Q140" i="17"/>
  <c r="T140" i="17" s="1"/>
  <c r="R140" i="17"/>
  <c r="U140" i="17" s="1"/>
  <c r="S140" i="17"/>
  <c r="O143" i="17"/>
  <c r="P143" i="17"/>
  <c r="T143" i="17"/>
  <c r="U143" i="17"/>
  <c r="L144" i="17"/>
  <c r="L142" i="17" s="1"/>
  <c r="M144" i="17"/>
  <c r="N144" i="17"/>
  <c r="Q144" i="17"/>
  <c r="Q142" i="17" s="1"/>
  <c r="R144" i="17"/>
  <c r="S144" i="17"/>
  <c r="S142" i="17" s="1"/>
  <c r="O146" i="17"/>
  <c r="P146" i="17"/>
  <c r="T146" i="17"/>
  <c r="U146" i="17"/>
  <c r="L147" i="17"/>
  <c r="L145" i="17" s="1"/>
  <c r="O145" i="17" s="1"/>
  <c r="M147" i="17"/>
  <c r="N147" i="17"/>
  <c r="N145" i="17" s="1"/>
  <c r="Q147" i="17"/>
  <c r="R147" i="17"/>
  <c r="R145" i="17" s="1"/>
  <c r="S147" i="17"/>
  <c r="I150" i="17"/>
  <c r="K150" i="17" s="1"/>
  <c r="I151" i="17"/>
  <c r="K151" i="17" s="1"/>
  <c r="I152" i="17"/>
  <c r="I137" i="17" s="1"/>
  <c r="I153" i="17"/>
  <c r="K153" i="17" s="1"/>
  <c r="I154" i="17"/>
  <c r="J156" i="17"/>
  <c r="L158" i="17"/>
  <c r="M158" i="17"/>
  <c r="N158" i="17"/>
  <c r="O158" i="17"/>
  <c r="P158" i="17"/>
  <c r="Q158" i="17"/>
  <c r="T158" i="17" s="1"/>
  <c r="R158" i="17"/>
  <c r="S158" i="17"/>
  <c r="U158" i="17"/>
  <c r="O161" i="17"/>
  <c r="P161" i="17"/>
  <c r="T161" i="17"/>
  <c r="U161" i="17"/>
  <c r="L162" i="17"/>
  <c r="O162" i="17" s="1"/>
  <c r="M162" i="17"/>
  <c r="N162" i="17"/>
  <c r="Q162" i="17"/>
  <c r="Q160" i="17" s="1"/>
  <c r="T160" i="17" s="1"/>
  <c r="R162" i="17"/>
  <c r="S162" i="17"/>
  <c r="S159" i="17" s="1"/>
  <c r="S157" i="17" s="1"/>
  <c r="Q163" i="17"/>
  <c r="T163" i="17" s="1"/>
  <c r="R163" i="17"/>
  <c r="U163" i="17" s="1"/>
  <c r="S163" i="17"/>
  <c r="O164" i="17"/>
  <c r="P164" i="17"/>
  <c r="T164" i="17"/>
  <c r="U164" i="17"/>
  <c r="L165" i="17"/>
  <c r="M165" i="17"/>
  <c r="P165" i="17" s="1"/>
  <c r="N165" i="17"/>
  <c r="N163" i="17" s="1"/>
  <c r="T165" i="17"/>
  <c r="U165" i="17"/>
  <c r="I167" i="17"/>
  <c r="K167" i="17" s="1"/>
  <c r="I168" i="17"/>
  <c r="K168" i="17" s="1"/>
  <c r="I169" i="17"/>
  <c r="I156" i="17" s="1"/>
  <c r="K156" i="17" s="1"/>
  <c r="J172" i="17"/>
  <c r="L174" i="17"/>
  <c r="M174" i="17"/>
  <c r="P174" i="17" s="1"/>
  <c r="N174" i="17"/>
  <c r="Q174" i="17"/>
  <c r="T174" i="17" s="1"/>
  <c r="R174" i="17"/>
  <c r="S174" i="17"/>
  <c r="O177" i="17"/>
  <c r="P177" i="17"/>
  <c r="T177" i="17"/>
  <c r="U177" i="17"/>
  <c r="L178" i="17"/>
  <c r="M178" i="17"/>
  <c r="M176" i="17" s="1"/>
  <c r="N178" i="17"/>
  <c r="Q178" i="17"/>
  <c r="Q176" i="17" s="1"/>
  <c r="T176" i="17" s="1"/>
  <c r="R178" i="17"/>
  <c r="U178" i="17" s="1"/>
  <c r="S178" i="17"/>
  <c r="S175" i="17" s="1"/>
  <c r="S173" i="17" s="1"/>
  <c r="Q179" i="17"/>
  <c r="R179" i="17"/>
  <c r="U179" i="17" s="1"/>
  <c r="S179" i="17"/>
  <c r="T179" i="17"/>
  <c r="O180" i="17"/>
  <c r="P180" i="17"/>
  <c r="T180" i="17"/>
  <c r="U180" i="17"/>
  <c r="L181" i="17"/>
  <c r="O181" i="17" s="1"/>
  <c r="M181" i="17"/>
  <c r="N181" i="17"/>
  <c r="N179" i="17" s="1"/>
  <c r="T181" i="17"/>
  <c r="U181" i="17"/>
  <c r="I183" i="17"/>
  <c r="I172" i="17" s="1"/>
  <c r="K184" i="17"/>
  <c r="L187" i="17"/>
  <c r="M187" i="17"/>
  <c r="N187" i="17"/>
  <c r="O187" i="17"/>
  <c r="P187" i="17"/>
  <c r="Q187" i="17"/>
  <c r="T187" i="17" s="1"/>
  <c r="R187" i="17"/>
  <c r="S187" i="17"/>
  <c r="U187" i="17"/>
  <c r="O190" i="17"/>
  <c r="P190" i="17"/>
  <c r="T190" i="17"/>
  <c r="U190" i="17"/>
  <c r="L191" i="17"/>
  <c r="M191" i="17"/>
  <c r="N191" i="17"/>
  <c r="Q191" i="17"/>
  <c r="R191" i="17"/>
  <c r="R189" i="17" s="1"/>
  <c r="S191" i="17"/>
  <c r="S189" i="17" s="1"/>
  <c r="O193" i="17"/>
  <c r="P193" i="17"/>
  <c r="T193" i="17"/>
  <c r="U193" i="17"/>
  <c r="L194" i="17"/>
  <c r="L192" i="17" s="1"/>
  <c r="O192" i="17" s="1"/>
  <c r="M194" i="17"/>
  <c r="P194" i="17" s="1"/>
  <c r="N194" i="17"/>
  <c r="N192" i="17" s="1"/>
  <c r="Q194" i="17"/>
  <c r="T194" i="17" s="1"/>
  <c r="R194" i="17"/>
  <c r="R192" i="17" s="1"/>
  <c r="U192" i="17" s="1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K209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I221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N243" i="17"/>
  <c r="N232" i="17" s="1"/>
  <c r="P243" i="17"/>
  <c r="L244" i="17"/>
  <c r="L245" i="17"/>
  <c r="L246" i="17"/>
  <c r="L247" i="17"/>
  <c r="I249" i="17"/>
  <c r="K251" i="17"/>
  <c r="K252" i="17"/>
  <c r="J253" i="17"/>
  <c r="J231" i="17" s="1"/>
  <c r="J185" i="17" s="1"/>
  <c r="N254" i="17"/>
  <c r="P254" i="17"/>
  <c r="L255" i="17"/>
  <c r="L256" i="17"/>
  <c r="L257" i="17"/>
  <c r="L258" i="17"/>
  <c r="I260" i="17"/>
  <c r="K260" i="17" s="1"/>
  <c r="K262" i="17"/>
  <c r="K263" i="17"/>
  <c r="J265" i="17"/>
  <c r="L267" i="17"/>
  <c r="M267" i="17"/>
  <c r="N267" i="17"/>
  <c r="P267" i="17"/>
  <c r="Q267" i="17"/>
  <c r="T267" i="17" s="1"/>
  <c r="R267" i="17"/>
  <c r="S267" i="17"/>
  <c r="O270" i="17"/>
  <c r="P270" i="17"/>
  <c r="T270" i="17"/>
  <c r="U270" i="17"/>
  <c r="L271" i="17"/>
  <c r="L269" i="17" s="1"/>
  <c r="M271" i="17"/>
  <c r="M269" i="17" s="1"/>
  <c r="N271" i="17"/>
  <c r="Q271" i="17"/>
  <c r="Q269" i="17" s="1"/>
  <c r="R271" i="17"/>
  <c r="S271" i="17"/>
  <c r="Q272" i="17"/>
  <c r="R272" i="17"/>
  <c r="S272" i="17"/>
  <c r="T272" i="17"/>
  <c r="U272" i="17"/>
  <c r="O273" i="17"/>
  <c r="P273" i="17"/>
  <c r="T273" i="17"/>
  <c r="U273" i="17"/>
  <c r="L274" i="17"/>
  <c r="M274" i="17"/>
  <c r="N274" i="17"/>
  <c r="N272" i="17" s="1"/>
  <c r="T274" i="17"/>
  <c r="U274" i="17"/>
  <c r="I276" i="17"/>
  <c r="I265" i="17" s="1"/>
  <c r="K265" i="17" s="1"/>
  <c r="J280" i="17"/>
  <c r="J281" i="17"/>
  <c r="L283" i="17"/>
  <c r="O283" i="17" s="1"/>
  <c r="M283" i="17"/>
  <c r="N283" i="17"/>
  <c r="Q283" i="17"/>
  <c r="R283" i="17"/>
  <c r="R282" i="17" s="1"/>
  <c r="U282" i="17" s="1"/>
  <c r="S283" i="17"/>
  <c r="Q284" i="17"/>
  <c r="R284" i="17"/>
  <c r="U284" i="17" s="1"/>
  <c r="S284" i="17"/>
  <c r="T284" i="17"/>
  <c r="Q285" i="17"/>
  <c r="T285" i="17" s="1"/>
  <c r="R285" i="17"/>
  <c r="U285" i="17" s="1"/>
  <c r="S285" i="17"/>
  <c r="O286" i="17"/>
  <c r="P286" i="17"/>
  <c r="T286" i="17"/>
  <c r="U286" i="17"/>
  <c r="L287" i="17"/>
  <c r="L285" i="17" s="1"/>
  <c r="M287" i="17"/>
  <c r="M285" i="17" s="1"/>
  <c r="N287" i="17"/>
  <c r="N285" i="17" s="1"/>
  <c r="T287" i="17"/>
  <c r="U287" i="17"/>
  <c r="Q288" i="17"/>
  <c r="T288" i="17" s="1"/>
  <c r="R288" i="17"/>
  <c r="U288" i="17" s="1"/>
  <c r="S288" i="17"/>
  <c r="O289" i="17"/>
  <c r="P289" i="17"/>
  <c r="T289" i="17"/>
  <c r="U289" i="17"/>
  <c r="L290" i="17"/>
  <c r="L288" i="17" s="1"/>
  <c r="O288" i="17" s="1"/>
  <c r="M290" i="17"/>
  <c r="M288" i="17" s="1"/>
  <c r="P288" i="17" s="1"/>
  <c r="N290" i="17"/>
  <c r="N288" i="17" s="1"/>
  <c r="T290" i="17"/>
  <c r="U290" i="17"/>
  <c r="I292" i="17"/>
  <c r="I281" i="17" s="1"/>
  <c r="K281" i="17" s="1"/>
  <c r="I293" i="17"/>
  <c r="J293" i="17"/>
  <c r="I295" i="17"/>
  <c r="K295" i="17" s="1"/>
  <c r="I296" i="17"/>
  <c r="K296" i="17" s="1"/>
  <c r="I298" i="17"/>
  <c r="K298" i="17" s="1"/>
  <c r="I299" i="17"/>
  <c r="K299" i="17" s="1"/>
  <c r="J302" i="17"/>
  <c r="L304" i="17"/>
  <c r="M304" i="17"/>
  <c r="P304" i="17" s="1"/>
  <c r="N304" i="17"/>
  <c r="Q304" i="17"/>
  <c r="R304" i="17"/>
  <c r="S304" i="17"/>
  <c r="O307" i="17"/>
  <c r="P307" i="17"/>
  <c r="T307" i="17"/>
  <c r="U307" i="17"/>
  <c r="L308" i="17"/>
  <c r="M308" i="17"/>
  <c r="M306" i="17" s="1"/>
  <c r="N308" i="17"/>
  <c r="N306" i="17" s="1"/>
  <c r="Q308" i="17"/>
  <c r="R308" i="17"/>
  <c r="S308" i="17"/>
  <c r="S305" i="17" s="1"/>
  <c r="S303" i="17" s="1"/>
  <c r="Q309" i="17"/>
  <c r="T309" i="17" s="1"/>
  <c r="R309" i="17"/>
  <c r="S309" i="17"/>
  <c r="U309" i="17"/>
  <c r="O310" i="17"/>
  <c r="P310" i="17"/>
  <c r="T310" i="17"/>
  <c r="U310" i="17"/>
  <c r="L311" i="17"/>
  <c r="L309" i="17" s="1"/>
  <c r="O309" i="17" s="1"/>
  <c r="M311" i="17"/>
  <c r="P311" i="17" s="1"/>
  <c r="N311" i="17"/>
  <c r="N309" i="17" s="1"/>
  <c r="T311" i="17"/>
  <c r="U311" i="17"/>
  <c r="I314" i="17"/>
  <c r="J319" i="17"/>
  <c r="L321" i="17"/>
  <c r="M321" i="17"/>
  <c r="N321" i="17"/>
  <c r="Q321" i="17"/>
  <c r="R321" i="17"/>
  <c r="S321" i="17"/>
  <c r="Q322" i="17"/>
  <c r="T322" i="17" s="1"/>
  <c r="R322" i="17"/>
  <c r="S322" i="17"/>
  <c r="U322" i="17"/>
  <c r="Q323" i="17"/>
  <c r="T323" i="17" s="1"/>
  <c r="R323" i="17"/>
  <c r="S323" i="17"/>
  <c r="U323" i="17"/>
  <c r="O324" i="17"/>
  <c r="P324" i="17"/>
  <c r="T324" i="17"/>
  <c r="U324" i="17"/>
  <c r="L325" i="17"/>
  <c r="L323" i="17" s="1"/>
  <c r="O323" i="17" s="1"/>
  <c r="M325" i="17"/>
  <c r="P325" i="17" s="1"/>
  <c r="N325" i="17"/>
  <c r="N323" i="17" s="1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L326" i="17" s="1"/>
  <c r="O326" i="17" s="1"/>
  <c r="M328" i="17"/>
  <c r="P328" i="17" s="1"/>
  <c r="N328" i="17"/>
  <c r="N326" i="17" s="1"/>
  <c r="T328" i="17"/>
  <c r="U328" i="17"/>
  <c r="I330" i="17"/>
  <c r="I319" i="17" s="1"/>
  <c r="K319" i="17" s="1"/>
  <c r="I332" i="17"/>
  <c r="L334" i="17"/>
  <c r="O334" i="17" s="1"/>
  <c r="M334" i="17"/>
  <c r="P334" i="17" s="1"/>
  <c r="N334" i="17"/>
  <c r="Q334" i="17"/>
  <c r="R334" i="17"/>
  <c r="U334" i="17" s="1"/>
  <c r="S334" i="17"/>
  <c r="Q335" i="17"/>
  <c r="R335" i="17"/>
  <c r="S335" i="17"/>
  <c r="T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N338" i="17"/>
  <c r="T338" i="17"/>
  <c r="U338" i="17"/>
  <c r="Q339" i="17"/>
  <c r="R339" i="17"/>
  <c r="S339" i="17"/>
  <c r="T339" i="17"/>
  <c r="U339" i="17"/>
  <c r="O340" i="17"/>
  <c r="P340" i="17"/>
  <c r="T340" i="17"/>
  <c r="U340" i="17"/>
  <c r="L341" i="17"/>
  <c r="O341" i="17" s="1"/>
  <c r="M341" i="17"/>
  <c r="P341" i="17" s="1"/>
  <c r="N341" i="17"/>
  <c r="N339" i="17" s="1"/>
  <c r="T341" i="17"/>
  <c r="U341" i="17"/>
  <c r="J344" i="17"/>
  <c r="K344" i="17"/>
  <c r="I346" i="17"/>
  <c r="J346" i="17"/>
  <c r="J347" i="17"/>
  <c r="J348" i="17"/>
  <c r="J349" i="17"/>
  <c r="D350" i="17"/>
  <c r="J352" i="17"/>
  <c r="J353" i="17"/>
  <c r="J354" i="17"/>
  <c r="L357" i="17"/>
  <c r="M357" i="17"/>
  <c r="P357" i="17" s="1"/>
  <c r="N357" i="17"/>
  <c r="Q357" i="17"/>
  <c r="R357" i="17"/>
  <c r="S357" i="17"/>
  <c r="Q358" i="17"/>
  <c r="T358" i="17" s="1"/>
  <c r="R358" i="17"/>
  <c r="S358" i="17"/>
  <c r="U358" i="17"/>
  <c r="Q359" i="17"/>
  <c r="T359" i="17" s="1"/>
  <c r="R359" i="17"/>
  <c r="U359" i="17" s="1"/>
  <c r="S359" i="17"/>
  <c r="O360" i="17"/>
  <c r="P360" i="17"/>
  <c r="T360" i="17"/>
  <c r="U360" i="17"/>
  <c r="L361" i="17"/>
  <c r="M361" i="17"/>
  <c r="N361" i="17"/>
  <c r="T361" i="17"/>
  <c r="U361" i="17"/>
  <c r="Q362" i="17"/>
  <c r="R362" i="17"/>
  <c r="U362" i="17" s="1"/>
  <c r="S362" i="17"/>
  <c r="T362" i="17"/>
  <c r="O363" i="17"/>
  <c r="P363" i="17"/>
  <c r="T363" i="17"/>
  <c r="U363" i="17"/>
  <c r="L364" i="17"/>
  <c r="M364" i="17"/>
  <c r="P364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L376" i="17"/>
  <c r="M376" i="17"/>
  <c r="P376" i="17" s="1"/>
  <c r="N376" i="17"/>
  <c r="O376" i="17"/>
  <c r="Q376" i="17"/>
  <c r="T376" i="17" s="1"/>
  <c r="R376" i="17"/>
  <c r="U376" i="17" s="1"/>
  <c r="S376" i="17"/>
  <c r="O379" i="17"/>
  <c r="P379" i="17"/>
  <c r="T379" i="17"/>
  <c r="U379" i="17"/>
  <c r="L380" i="17"/>
  <c r="M380" i="17"/>
  <c r="M378" i="17" s="1"/>
  <c r="N380" i="17"/>
  <c r="Q380" i="17"/>
  <c r="R380" i="17"/>
  <c r="S380" i="17"/>
  <c r="S377" i="17" s="1"/>
  <c r="S375" i="17" s="1"/>
  <c r="Q381" i="17"/>
  <c r="T381" i="17" s="1"/>
  <c r="R381" i="17"/>
  <c r="U381" i="17" s="1"/>
  <c r="S381" i="17"/>
  <c r="O382" i="17"/>
  <c r="P382" i="17"/>
  <c r="T382" i="17"/>
  <c r="U382" i="17"/>
  <c r="L383" i="17"/>
  <c r="O383" i="17" s="1"/>
  <c r="M383" i="17"/>
  <c r="P383" i="17" s="1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M393" i="17"/>
  <c r="P393" i="17" s="1"/>
  <c r="N393" i="17"/>
  <c r="Q393" i="17"/>
  <c r="R393" i="17"/>
  <c r="S393" i="17"/>
  <c r="L394" i="17"/>
  <c r="O394" i="17" s="1"/>
  <c r="M394" i="17"/>
  <c r="P394" i="17" s="1"/>
  <c r="N394" i="17"/>
  <c r="N392" i="17" s="1"/>
  <c r="L395" i="17"/>
  <c r="M395" i="17"/>
  <c r="N395" i="17"/>
  <c r="O395" i="17"/>
  <c r="P395" i="17"/>
  <c r="O396" i="17"/>
  <c r="P396" i="17"/>
  <c r="T396" i="17"/>
  <c r="U396" i="17"/>
  <c r="O397" i="17"/>
  <c r="P397" i="17"/>
  <c r="Q397" i="17"/>
  <c r="R397" i="17"/>
  <c r="R394" i="17" s="1"/>
  <c r="U394" i="17" s="1"/>
  <c r="S397" i="17"/>
  <c r="S395" i="17" s="1"/>
  <c r="L398" i="17"/>
  <c r="O398" i="17" s="1"/>
  <c r="M398" i="17"/>
  <c r="P398" i="17" s="1"/>
  <c r="N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S414" i="17"/>
  <c r="O417" i="17"/>
  <c r="P417" i="17"/>
  <c r="T417" i="17"/>
  <c r="U417" i="17"/>
  <c r="L418" i="17"/>
  <c r="L416" i="17" s="1"/>
  <c r="M418" i="17"/>
  <c r="N418" i="17"/>
  <c r="Q418" i="17"/>
  <c r="Q415" i="17" s="1"/>
  <c r="R418" i="17"/>
  <c r="S418" i="17"/>
  <c r="S416" i="17" s="1"/>
  <c r="Q419" i="17"/>
  <c r="R419" i="17"/>
  <c r="S419" i="17"/>
  <c r="T419" i="17"/>
  <c r="U419" i="17"/>
  <c r="O420" i="17"/>
  <c r="P420" i="17"/>
  <c r="T420" i="17"/>
  <c r="U420" i="17"/>
  <c r="L421" i="17"/>
  <c r="M421" i="17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K440" i="17" s="1"/>
  <c r="I441" i="17"/>
  <c r="K441" i="17" s="1"/>
  <c r="J446" i="17"/>
  <c r="J440" i="17" s="1"/>
  <c r="J423" i="17" s="1"/>
  <c r="J412" i="17" s="1"/>
  <c r="J447" i="17"/>
  <c r="J441" i="17" s="1"/>
  <c r="I457" i="17"/>
  <c r="I458" i="17"/>
  <c r="J459" i="17"/>
  <c r="J457" i="17" s="1"/>
  <c r="J456" i="17" s="1"/>
  <c r="J460" i="17"/>
  <c r="J467" i="17"/>
  <c r="J468" i="17"/>
  <c r="J458" i="17" s="1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N494" i="17"/>
  <c r="O494" i="17"/>
  <c r="P494" i="17"/>
  <c r="Q494" i="17"/>
  <c r="R494" i="17"/>
  <c r="S494" i="17"/>
  <c r="U494" i="17"/>
  <c r="O497" i="17"/>
  <c r="P497" i="17"/>
  <c r="T497" i="17"/>
  <c r="U497" i="17"/>
  <c r="L498" i="17"/>
  <c r="O498" i="17" s="1"/>
  <c r="M498" i="17"/>
  <c r="M496" i="17" s="1"/>
  <c r="P496" i="17" s="1"/>
  <c r="N498" i="17"/>
  <c r="Q498" i="17"/>
  <c r="Q495" i="17" s="1"/>
  <c r="T495" i="17" s="1"/>
  <c r="R498" i="17"/>
  <c r="U498" i="17" s="1"/>
  <c r="S498" i="17"/>
  <c r="S496" i="17" s="1"/>
  <c r="Q499" i="17"/>
  <c r="T499" i="17" s="1"/>
  <c r="R499" i="17"/>
  <c r="U499" i="17" s="1"/>
  <c r="S499" i="17"/>
  <c r="O500" i="17"/>
  <c r="P500" i="17"/>
  <c r="T500" i="17"/>
  <c r="U500" i="17"/>
  <c r="L501" i="17"/>
  <c r="O501" i="17" s="1"/>
  <c r="M501" i="17"/>
  <c r="P501" i="17" s="1"/>
  <c r="N501" i="17"/>
  <c r="N499" i="17" s="1"/>
  <c r="T501" i="17"/>
  <c r="U501" i="17"/>
  <c r="I503" i="17"/>
  <c r="I504" i="17"/>
  <c r="I505" i="17"/>
  <c r="K505" i="17" s="1"/>
  <c r="I506" i="17"/>
  <c r="K506" i="17" s="1"/>
  <c r="I507" i="17"/>
  <c r="K507" i="17" s="1"/>
  <c r="K508" i="17"/>
  <c r="I509" i="17"/>
  <c r="K509" i="17" s="1"/>
  <c r="I512" i="17"/>
  <c r="J512" i="17"/>
  <c r="K512" i="17"/>
  <c r="L514" i="17"/>
  <c r="M514" i="17"/>
  <c r="N514" i="17"/>
  <c r="O514" i="17"/>
  <c r="P514" i="17"/>
  <c r="Q514" i="17"/>
  <c r="T514" i="17" s="1"/>
  <c r="R514" i="17"/>
  <c r="R513" i="17" s="1"/>
  <c r="U513" i="17" s="1"/>
  <c r="S514" i="17"/>
  <c r="U514" i="17"/>
  <c r="Q515" i="17"/>
  <c r="R515" i="17"/>
  <c r="U515" i="17" s="1"/>
  <c r="S515" i="17"/>
  <c r="S513" i="17" s="1"/>
  <c r="Q516" i="17"/>
  <c r="T516" i="17" s="1"/>
  <c r="R516" i="17"/>
  <c r="U516" i="17" s="1"/>
  <c r="S516" i="17"/>
  <c r="O517" i="17"/>
  <c r="P517" i="17"/>
  <c r="T517" i="17"/>
  <c r="U517" i="17"/>
  <c r="L518" i="17"/>
  <c r="L516" i="17" s="1"/>
  <c r="O516" i="17" s="1"/>
  <c r="M518" i="17"/>
  <c r="M516" i="17" s="1"/>
  <c r="P516" i="17" s="1"/>
  <c r="N518" i="17"/>
  <c r="N516" i="17" s="1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M521" i="17"/>
  <c r="N521" i="17"/>
  <c r="T521" i="17"/>
  <c r="U521" i="17"/>
  <c r="K523" i="17"/>
  <c r="K524" i="17"/>
  <c r="I533" i="17"/>
  <c r="K533" i="17" s="1"/>
  <c r="J533" i="17"/>
  <c r="R534" i="17"/>
  <c r="U534" i="17" s="1"/>
  <c r="L535" i="17"/>
  <c r="O535" i="17" s="1"/>
  <c r="M535" i="17"/>
  <c r="P535" i="17" s="1"/>
  <c r="N535" i="17"/>
  <c r="Q535" i="17"/>
  <c r="R535" i="17"/>
  <c r="U535" i="17" s="1"/>
  <c r="S535" i="17"/>
  <c r="Q536" i="17"/>
  <c r="T536" i="17" s="1"/>
  <c r="R536" i="17"/>
  <c r="U536" i="17" s="1"/>
  <c r="S536" i="17"/>
  <c r="Q537" i="17"/>
  <c r="T537" i="17" s="1"/>
  <c r="R537" i="17"/>
  <c r="U537" i="17" s="1"/>
  <c r="S537" i="17"/>
  <c r="O538" i="17"/>
  <c r="P538" i="17"/>
  <c r="T538" i="17"/>
  <c r="U538" i="17"/>
  <c r="L539" i="17"/>
  <c r="M539" i="17"/>
  <c r="M537" i="17" s="1"/>
  <c r="P537" i="17" s="1"/>
  <c r="N539" i="17"/>
  <c r="N537" i="17" s="1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O542" i="17" s="1"/>
  <c r="M542" i="17"/>
  <c r="N542" i="17"/>
  <c r="N540" i="17" s="1"/>
  <c r="T542" i="17"/>
  <c r="U542" i="17"/>
  <c r="I554" i="17"/>
  <c r="J554" i="17"/>
  <c r="K554" i="17"/>
  <c r="L556" i="17"/>
  <c r="O556" i="17" s="1"/>
  <c r="M556" i="17"/>
  <c r="P556" i="17" s="1"/>
  <c r="N556" i="17"/>
  <c r="Q556" i="17"/>
  <c r="Q555" i="17" s="1"/>
  <c r="T555" i="17" s="1"/>
  <c r="R556" i="17"/>
  <c r="U556" i="17" s="1"/>
  <c r="S556" i="17"/>
  <c r="T556" i="17"/>
  <c r="Q557" i="17"/>
  <c r="T557" i="17" s="1"/>
  <c r="R557" i="17"/>
  <c r="U557" i="17" s="1"/>
  <c r="S557" i="17"/>
  <c r="Q558" i="17"/>
  <c r="T558" i="17" s="1"/>
  <c r="R558" i="17"/>
  <c r="S558" i="17"/>
  <c r="U558" i="17"/>
  <c r="O559" i="17"/>
  <c r="P559" i="17"/>
  <c r="T559" i="17"/>
  <c r="U559" i="17"/>
  <c r="L560" i="17"/>
  <c r="M560" i="17"/>
  <c r="N560" i="17"/>
  <c r="T560" i="17"/>
  <c r="U560" i="17"/>
  <c r="Q561" i="17"/>
  <c r="T561" i="17" s="1"/>
  <c r="R561" i="17"/>
  <c r="U561" i="17" s="1"/>
  <c r="S561" i="17"/>
  <c r="O562" i="17"/>
  <c r="P562" i="17"/>
  <c r="T562" i="17"/>
  <c r="U562" i="17"/>
  <c r="L563" i="17"/>
  <c r="L561" i="17" s="1"/>
  <c r="O561" i="17" s="1"/>
  <c r="M563" i="17"/>
  <c r="P563" i="17" s="1"/>
  <c r="N563" i="17"/>
  <c r="N561" i="17" s="1"/>
  <c r="T563" i="17"/>
  <c r="U563" i="17"/>
  <c r="I575" i="17"/>
  <c r="J575" i="17"/>
  <c r="K575" i="17"/>
  <c r="L577" i="17"/>
  <c r="O577" i="17" s="1"/>
  <c r="M577" i="17"/>
  <c r="P577" i="17" s="1"/>
  <c r="N577" i="17"/>
  <c r="Q577" i="17"/>
  <c r="R577" i="17"/>
  <c r="R576" i="17" s="1"/>
  <c r="U576" i="17" s="1"/>
  <c r="S577" i="17"/>
  <c r="S576" i="17" s="1"/>
  <c r="T577" i="17"/>
  <c r="U577" i="17"/>
  <c r="Q578" i="17"/>
  <c r="T578" i="17" s="1"/>
  <c r="R578" i="17"/>
  <c r="S578" i="17"/>
  <c r="U578" i="17"/>
  <c r="Q579" i="17"/>
  <c r="T579" i="17" s="1"/>
  <c r="R579" i="17"/>
  <c r="U579" i="17" s="1"/>
  <c r="S579" i="17"/>
  <c r="O580" i="17"/>
  <c r="P580" i="17"/>
  <c r="T580" i="17"/>
  <c r="U580" i="17"/>
  <c r="L581" i="17"/>
  <c r="L579" i="17" s="1"/>
  <c r="O579" i="17" s="1"/>
  <c r="M581" i="17"/>
  <c r="M579" i="17" s="1"/>
  <c r="P579" i="17" s="1"/>
  <c r="N581" i="17"/>
  <c r="N579" i="17" s="1"/>
  <c r="T581" i="17"/>
  <c r="U581" i="17"/>
  <c r="Q582" i="17"/>
  <c r="T582" i="17" s="1"/>
  <c r="R582" i="17"/>
  <c r="U582" i="17" s="1"/>
  <c r="S582" i="17"/>
  <c r="O583" i="17"/>
  <c r="P583" i="17"/>
  <c r="T583" i="17"/>
  <c r="U583" i="17"/>
  <c r="L584" i="17"/>
  <c r="M584" i="17"/>
  <c r="N584" i="17"/>
  <c r="N582" i="17" s="1"/>
  <c r="T584" i="17"/>
  <c r="U584" i="17"/>
  <c r="L600" i="17"/>
  <c r="M600" i="17"/>
  <c r="P600" i="17" s="1"/>
  <c r="N600" i="17"/>
  <c r="O600" i="17"/>
  <c r="Q600" i="17"/>
  <c r="T600" i="17" s="1"/>
  <c r="R600" i="17"/>
  <c r="U600" i="17" s="1"/>
  <c r="S600" i="17"/>
  <c r="O603" i="17"/>
  <c r="P603" i="17"/>
  <c r="T603" i="17"/>
  <c r="U603" i="17"/>
  <c r="L604" i="17"/>
  <c r="M604" i="17"/>
  <c r="N604" i="17"/>
  <c r="Q604" i="17"/>
  <c r="T604" i="17" s="1"/>
  <c r="R604" i="17"/>
  <c r="R602" i="17" s="1"/>
  <c r="U602" i="17" s="1"/>
  <c r="S604" i="17"/>
  <c r="O606" i="17"/>
  <c r="P606" i="17"/>
  <c r="T606" i="17"/>
  <c r="U606" i="17"/>
  <c r="L607" i="17"/>
  <c r="L605" i="17" s="1"/>
  <c r="O605" i="17" s="1"/>
  <c r="M607" i="17"/>
  <c r="M605" i="17" s="1"/>
  <c r="P605" i="17" s="1"/>
  <c r="N607" i="17"/>
  <c r="N605" i="17" s="1"/>
  <c r="Q607" i="17"/>
  <c r="T607" i="17" s="1"/>
  <c r="R607" i="17"/>
  <c r="U607" i="17" s="1"/>
  <c r="S607" i="17"/>
  <c r="S605" i="17" s="1"/>
  <c r="L617" i="17"/>
  <c r="M617" i="17"/>
  <c r="N617" i="17"/>
  <c r="P617" i="17"/>
  <c r="Q617" i="17"/>
  <c r="R617" i="17"/>
  <c r="S617" i="17"/>
  <c r="L618" i="17"/>
  <c r="O618" i="17" s="1"/>
  <c r="M618" i="17"/>
  <c r="P618" i="17" s="1"/>
  <c r="N618" i="17"/>
  <c r="L619" i="17"/>
  <c r="M619" i="17"/>
  <c r="N619" i="17"/>
  <c r="O619" i="17"/>
  <c r="P619" i="17"/>
  <c r="O620" i="17"/>
  <c r="P620" i="17"/>
  <c r="T620" i="17"/>
  <c r="U620" i="17"/>
  <c r="O621" i="17"/>
  <c r="P621" i="17"/>
  <c r="Q621" i="17"/>
  <c r="R621" i="17"/>
  <c r="S621" i="17"/>
  <c r="S619" i="17" s="1"/>
  <c r="L622" i="17"/>
  <c r="O622" i="17" s="1"/>
  <c r="M622" i="17"/>
  <c r="P622" i="17" s="1"/>
  <c r="N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I615" i="17" s="1"/>
  <c r="J626" i="17"/>
  <c r="J615" i="17" s="1"/>
  <c r="I627" i="17"/>
  <c r="K627" i="17" s="1"/>
  <c r="I628" i="17"/>
  <c r="K628" i="17" s="1"/>
  <c r="J632" i="17"/>
  <c r="I635" i="17"/>
  <c r="K635" i="17" s="1"/>
  <c r="J636" i="17"/>
  <c r="J635" i="17" s="1"/>
  <c r="L643" i="17"/>
  <c r="L642" i="17" s="1"/>
  <c r="O642" i="17" s="1"/>
  <c r="M643" i="17"/>
  <c r="M642" i="17" s="1"/>
  <c r="P642" i="17" s="1"/>
  <c r="N643" i="17"/>
  <c r="Q643" i="17"/>
  <c r="R643" i="17"/>
  <c r="S643" i="17"/>
  <c r="U643" i="17"/>
  <c r="L644" i="17"/>
  <c r="O644" i="17" s="1"/>
  <c r="M644" i="17"/>
  <c r="P644" i="17" s="1"/>
  <c r="N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R647" i="17"/>
  <c r="R645" i="17" s="1"/>
  <c r="S647" i="17"/>
  <c r="S644" i="17" s="1"/>
  <c r="S642" i="17" s="1"/>
  <c r="L648" i="17"/>
  <c r="O648" i="17" s="1"/>
  <c r="M648" i="17"/>
  <c r="N648" i="17"/>
  <c r="P648" i="17"/>
  <c r="Q648" i="17"/>
  <c r="R648" i="17"/>
  <c r="U648" i="17" s="1"/>
  <c r="S648" i="17"/>
  <c r="T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O691" i="17" s="1"/>
  <c r="M691" i="17"/>
  <c r="P691" i="17" s="1"/>
  <c r="N691" i="17"/>
  <c r="N690" i="17" s="1"/>
  <c r="Q691" i="17"/>
  <c r="T691" i="17" s="1"/>
  <c r="R691" i="17"/>
  <c r="U691" i="17" s="1"/>
  <c r="S691" i="17"/>
  <c r="L692" i="17"/>
  <c r="M692" i="17"/>
  <c r="P692" i="17" s="1"/>
  <c r="N692" i="17"/>
  <c r="O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R695" i="17"/>
  <c r="R693" i="17" s="1"/>
  <c r="S695" i="17"/>
  <c r="S692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K703" i="17" s="1"/>
  <c r="J703" i="17"/>
  <c r="J704" i="17"/>
  <c r="K704" i="17"/>
  <c r="I705" i="17"/>
  <c r="J705" i="17"/>
  <c r="J706" i="17"/>
  <c r="K706" i="17"/>
  <c r="I707" i="17"/>
  <c r="K707" i="17" s="1"/>
  <c r="J707" i="17"/>
  <c r="J689" i="17" s="1"/>
  <c r="J708" i="17"/>
  <c r="K708" i="17"/>
  <c r="I709" i="17"/>
  <c r="J709" i="17"/>
  <c r="J710" i="17"/>
  <c r="K710" i="17"/>
  <c r="J712" i="17"/>
  <c r="K712" i="17"/>
  <c r="L715" i="17"/>
  <c r="L714" i="17" s="1"/>
  <c r="O714" i="17" s="1"/>
  <c r="M715" i="17"/>
  <c r="P715" i="17" s="1"/>
  <c r="N715" i="17"/>
  <c r="O715" i="17"/>
  <c r="Q715" i="17"/>
  <c r="T715" i="17" s="1"/>
  <c r="R715" i="17"/>
  <c r="R714" i="17" s="1"/>
  <c r="U714" i="17" s="1"/>
  <c r="S715" i="17"/>
  <c r="L716" i="17"/>
  <c r="M716" i="17"/>
  <c r="P716" i="17" s="1"/>
  <c r="N716" i="17"/>
  <c r="O716" i="17"/>
  <c r="Q716" i="17"/>
  <c r="T716" i="17" s="1"/>
  <c r="R716" i="17"/>
  <c r="S716" i="17"/>
  <c r="U716" i="17"/>
  <c r="L717" i="17"/>
  <c r="O717" i="17" s="1"/>
  <c r="M717" i="17"/>
  <c r="P717" i="17" s="1"/>
  <c r="N717" i="17"/>
  <c r="Q717" i="17"/>
  <c r="T717" i="17" s="1"/>
  <c r="R717" i="17"/>
  <c r="S717" i="17"/>
  <c r="U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K727" i="17" s="1"/>
  <c r="J727" i="17"/>
  <c r="N728" i="17"/>
  <c r="L729" i="17"/>
  <c r="O729" i="17" s="1"/>
  <c r="M729" i="17"/>
  <c r="M728" i="17" s="1"/>
  <c r="P728" i="17" s="1"/>
  <c r="N729" i="17"/>
  <c r="Q729" i="17"/>
  <c r="R729" i="17"/>
  <c r="U729" i="17" s="1"/>
  <c r="S729" i="17"/>
  <c r="L730" i="17"/>
  <c r="M730" i="17"/>
  <c r="P730" i="17" s="1"/>
  <c r="N730" i="17"/>
  <c r="O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0" i="17" s="1"/>
  <c r="R733" i="17"/>
  <c r="R731" i="17" s="1"/>
  <c r="S733" i="17"/>
  <c r="S731" i="17" s="1"/>
  <c r="L734" i="17"/>
  <c r="O734" i="17" s="1"/>
  <c r="M734" i="17"/>
  <c r="P734" i="17" s="1"/>
  <c r="N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O761" i="17" s="1"/>
  <c r="M761" i="17"/>
  <c r="M760" i="17" s="1"/>
  <c r="P760" i="17" s="1"/>
  <c r="N761" i="17"/>
  <c r="Q761" i="17"/>
  <c r="R761" i="17"/>
  <c r="U761" i="17" s="1"/>
  <c r="S761" i="17"/>
  <c r="T761" i="17"/>
  <c r="L762" i="17"/>
  <c r="M762" i="17"/>
  <c r="N762" i="17"/>
  <c r="O762" i="17"/>
  <c r="P762" i="17"/>
  <c r="L763" i="17"/>
  <c r="O763" i="17" s="1"/>
  <c r="M763" i="17"/>
  <c r="P763" i="17" s="1"/>
  <c r="N763" i="17"/>
  <c r="O764" i="17"/>
  <c r="P764" i="17"/>
  <c r="T764" i="17"/>
  <c r="U764" i="17"/>
  <c r="O765" i="17"/>
  <c r="P765" i="17"/>
  <c r="Q765" i="17"/>
  <c r="Q762" i="17" s="1"/>
  <c r="R765" i="17"/>
  <c r="R763" i="17" s="1"/>
  <c r="S765" i="17"/>
  <c r="S762" i="17" s="1"/>
  <c r="L766" i="17"/>
  <c r="O766" i="17" s="1"/>
  <c r="M766" i="17"/>
  <c r="P766" i="17" s="1"/>
  <c r="N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K772" i="17" s="1"/>
  <c r="I774" i="17"/>
  <c r="K774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N19" i="16" s="1"/>
  <c r="P22" i="16"/>
  <c r="Q22" i="16"/>
  <c r="T22" i="16" s="1"/>
  <c r="R22" i="16"/>
  <c r="R19" i="16" s="1"/>
  <c r="S22" i="16"/>
  <c r="L25" i="16"/>
  <c r="M25" i="16"/>
  <c r="N25" i="16"/>
  <c r="P25" i="16"/>
  <c r="Q25" i="16"/>
  <c r="T25" i="16" s="1"/>
  <c r="R25" i="16"/>
  <c r="S25" i="16"/>
  <c r="L45" i="16"/>
  <c r="O45" i="16" s="1"/>
  <c r="M45" i="16"/>
  <c r="N45" i="16"/>
  <c r="Q45" i="16"/>
  <c r="Q44" i="16" s="1"/>
  <c r="T44" i="16" s="1"/>
  <c r="R45" i="16"/>
  <c r="U45" i="16" s="1"/>
  <c r="S45" i="16"/>
  <c r="S44" i="16" s="1"/>
  <c r="T45" i="16"/>
  <c r="Q46" i="16"/>
  <c r="R46" i="16"/>
  <c r="S46" i="16"/>
  <c r="T46" i="16"/>
  <c r="U46" i="16"/>
  <c r="Q47" i="16"/>
  <c r="T47" i="16" s="1"/>
  <c r="R47" i="16"/>
  <c r="S47" i="16"/>
  <c r="U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R50" i="16"/>
  <c r="U50" i="16" s="1"/>
  <c r="S50" i="16"/>
  <c r="T50" i="16"/>
  <c r="O51" i="16"/>
  <c r="P51" i="16"/>
  <c r="T51" i="16"/>
  <c r="U51" i="16"/>
  <c r="L52" i="16"/>
  <c r="O52" i="16" s="1"/>
  <c r="M52" i="16"/>
  <c r="N52" i="16"/>
  <c r="N50" i="16" s="1"/>
  <c r="T52" i="16"/>
  <c r="U52" i="16"/>
  <c r="L60" i="16"/>
  <c r="O60" i="16" s="1"/>
  <c r="M60" i="16"/>
  <c r="N60" i="16"/>
  <c r="Q60" i="16"/>
  <c r="Q59" i="16" s="1"/>
  <c r="T59" i="16" s="1"/>
  <c r="R60" i="16"/>
  <c r="U60" i="16" s="1"/>
  <c r="S60" i="16"/>
  <c r="T60" i="16"/>
  <c r="Q61" i="16"/>
  <c r="R61" i="16"/>
  <c r="S61" i="16"/>
  <c r="T61" i="16"/>
  <c r="U61" i="16"/>
  <c r="Q62" i="16"/>
  <c r="T62" i="16" s="1"/>
  <c r="R62" i="16"/>
  <c r="S62" i="16"/>
  <c r="U62" i="16"/>
  <c r="O63" i="16"/>
  <c r="P63" i="16"/>
  <c r="T63" i="16"/>
  <c r="U63" i="16"/>
  <c r="L64" i="16"/>
  <c r="L62" i="16" s="1"/>
  <c r="M64" i="16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O67" i="16" s="1"/>
  <c r="M67" i="16"/>
  <c r="P67" i="16" s="1"/>
  <c r="N67" i="16"/>
  <c r="N65" i="16" s="1"/>
  <c r="T67" i="16"/>
  <c r="U67" i="16"/>
  <c r="J71" i="16"/>
  <c r="L73" i="16"/>
  <c r="O73" i="16" s="1"/>
  <c r="M73" i="16"/>
  <c r="N73" i="16"/>
  <c r="Q73" i="16"/>
  <c r="T73" i="16" s="1"/>
  <c r="R73" i="16"/>
  <c r="S73" i="16"/>
  <c r="O76" i="16"/>
  <c r="P76" i="16"/>
  <c r="T76" i="16"/>
  <c r="U76" i="16"/>
  <c r="L77" i="16"/>
  <c r="M77" i="16"/>
  <c r="N77" i="16"/>
  <c r="N75" i="16" s="1"/>
  <c r="Q77" i="16"/>
  <c r="R77" i="16"/>
  <c r="R75" i="16" s="1"/>
  <c r="S77" i="16"/>
  <c r="O79" i="16"/>
  <c r="P79" i="16"/>
  <c r="T79" i="16"/>
  <c r="U79" i="16"/>
  <c r="L80" i="16"/>
  <c r="L78" i="16" s="1"/>
  <c r="O78" i="16" s="1"/>
  <c r="M80" i="16"/>
  <c r="M78" i="16" s="1"/>
  <c r="P78" i="16" s="1"/>
  <c r="N80" i="16"/>
  <c r="N78" i="16" s="1"/>
  <c r="Q80" i="16"/>
  <c r="Q78" i="16" s="1"/>
  <c r="R80" i="16"/>
  <c r="R78" i="16" s="1"/>
  <c r="S80" i="16"/>
  <c r="S78" i="16" s="1"/>
  <c r="J82" i="16"/>
  <c r="J70" i="16" s="1"/>
  <c r="J83" i="16"/>
  <c r="I84" i="16"/>
  <c r="K84" i="16" s="1"/>
  <c r="I85" i="16"/>
  <c r="K85" i="16" s="1"/>
  <c r="I86" i="16"/>
  <c r="K86" i="16" s="1"/>
  <c r="I87" i="16"/>
  <c r="I88" i="16"/>
  <c r="K88" i="16" s="1"/>
  <c r="I89" i="16"/>
  <c r="K89" i="16" s="1"/>
  <c r="I90" i="16"/>
  <c r="K90" i="16" s="1"/>
  <c r="J92" i="16"/>
  <c r="J93" i="16"/>
  <c r="L95" i="16"/>
  <c r="M95" i="16"/>
  <c r="N95" i="16"/>
  <c r="P95" i="16"/>
  <c r="Q95" i="16"/>
  <c r="R95" i="16"/>
  <c r="S95" i="16"/>
  <c r="O98" i="16"/>
  <c r="P98" i="16"/>
  <c r="T98" i="16"/>
  <c r="U98" i="16"/>
  <c r="L99" i="16"/>
  <c r="M99" i="16"/>
  <c r="N99" i="16"/>
  <c r="Q99" i="16"/>
  <c r="Q97" i="16" s="1"/>
  <c r="T97" i="16" s="1"/>
  <c r="R99" i="16"/>
  <c r="S99" i="16"/>
  <c r="S96" i="16" s="1"/>
  <c r="S94" i="16" s="1"/>
  <c r="Q100" i="16"/>
  <c r="R100" i="16"/>
  <c r="S100" i="16"/>
  <c r="T100" i="16"/>
  <c r="U100" i="16"/>
  <c r="O101" i="16"/>
  <c r="P101" i="16"/>
  <c r="T101" i="16"/>
  <c r="U101" i="16"/>
  <c r="L102" i="16"/>
  <c r="M102" i="16"/>
  <c r="P102" i="16" s="1"/>
  <c r="N102" i="16"/>
  <c r="N100" i="16" s="1"/>
  <c r="T102" i="16"/>
  <c r="U102" i="16"/>
  <c r="I108" i="16"/>
  <c r="I109" i="16"/>
  <c r="K109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M122" i="16"/>
  <c r="N122" i="16"/>
  <c r="Q122" i="16"/>
  <c r="Q120" i="16" s="1"/>
  <c r="R122" i="16"/>
  <c r="S122" i="16"/>
  <c r="O124" i="16"/>
  <c r="P124" i="16"/>
  <c r="T124" i="16"/>
  <c r="U124" i="16"/>
  <c r="L125" i="16"/>
  <c r="M125" i="16"/>
  <c r="P125" i="16" s="1"/>
  <c r="N125" i="16"/>
  <c r="N123" i="16" s="1"/>
  <c r="Q125" i="16"/>
  <c r="Q123" i="16" s="1"/>
  <c r="T123" i="16" s="1"/>
  <c r="R125" i="16"/>
  <c r="S125" i="16"/>
  <c r="S123" i="16" s="1"/>
  <c r="I127" i="16"/>
  <c r="I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P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N144" i="16"/>
  <c r="N142" i="16" s="1"/>
  <c r="Q144" i="16"/>
  <c r="Q142" i="16" s="1"/>
  <c r="T142" i="16" s="1"/>
  <c r="R144" i="16"/>
  <c r="U144" i="16" s="1"/>
  <c r="S144" i="16"/>
  <c r="S142" i="16" s="1"/>
  <c r="O146" i="16"/>
  <c r="P146" i="16"/>
  <c r="T146" i="16"/>
  <c r="U146" i="16"/>
  <c r="L147" i="16"/>
  <c r="L145" i="16" s="1"/>
  <c r="O145" i="16" s="1"/>
  <c r="M147" i="16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53" i="16"/>
  <c r="I138" i="16" s="1"/>
  <c r="K138" i="16" s="1"/>
  <c r="I154" i="16"/>
  <c r="K154" i="16" s="1"/>
  <c r="J156" i="16"/>
  <c r="L158" i="16"/>
  <c r="M158" i="16"/>
  <c r="N158" i="16"/>
  <c r="O158" i="16"/>
  <c r="P158" i="16"/>
  <c r="Q158" i="16"/>
  <c r="R158" i="16"/>
  <c r="S158" i="16"/>
  <c r="O161" i="16"/>
  <c r="P161" i="16"/>
  <c r="T161" i="16"/>
  <c r="U161" i="16"/>
  <c r="L162" i="16"/>
  <c r="M162" i="16"/>
  <c r="N162" i="16"/>
  <c r="Q162" i="16"/>
  <c r="Q160" i="16" s="1"/>
  <c r="T160" i="16" s="1"/>
  <c r="R162" i="16"/>
  <c r="S162" i="16"/>
  <c r="S159" i="16" s="1"/>
  <c r="S157" i="16" s="1"/>
  <c r="Q163" i="16"/>
  <c r="R163" i="16"/>
  <c r="S163" i="16"/>
  <c r="T163" i="16"/>
  <c r="U163" i="16"/>
  <c r="O164" i="16"/>
  <c r="P164" i="16"/>
  <c r="T164" i="16"/>
  <c r="U164" i="16"/>
  <c r="L165" i="16"/>
  <c r="M165" i="16"/>
  <c r="N165" i="16"/>
  <c r="N163" i="16" s="1"/>
  <c r="T165" i="16"/>
  <c r="U165" i="16"/>
  <c r="I167" i="16"/>
  <c r="I168" i="16" s="1"/>
  <c r="K168" i="16" s="1"/>
  <c r="J172" i="16"/>
  <c r="L174" i="16"/>
  <c r="M174" i="16"/>
  <c r="N174" i="16"/>
  <c r="P174" i="16"/>
  <c r="Q174" i="16"/>
  <c r="R174" i="16"/>
  <c r="S174" i="16"/>
  <c r="O177" i="16"/>
  <c r="P177" i="16"/>
  <c r="T177" i="16"/>
  <c r="U177" i="16"/>
  <c r="L178" i="16"/>
  <c r="M178" i="16"/>
  <c r="N178" i="16"/>
  <c r="N176" i="16" s="1"/>
  <c r="Q178" i="16"/>
  <c r="Q176" i="16" s="1"/>
  <c r="R178" i="16"/>
  <c r="S178" i="16"/>
  <c r="S175" i="16" s="1"/>
  <c r="S173" i="16" s="1"/>
  <c r="Q179" i="16"/>
  <c r="R179" i="16"/>
  <c r="U179" i="16" s="1"/>
  <c r="S179" i="16"/>
  <c r="T179" i="16"/>
  <c r="O180" i="16"/>
  <c r="P180" i="16"/>
  <c r="T180" i="16"/>
  <c r="U180" i="16"/>
  <c r="L181" i="16"/>
  <c r="L179" i="16" s="1"/>
  <c r="O179" i="16" s="1"/>
  <c r="M181" i="16"/>
  <c r="M179" i="16" s="1"/>
  <c r="P179" i="16" s="1"/>
  <c r="N181" i="16"/>
  <c r="N179" i="16" s="1"/>
  <c r="T181" i="16"/>
  <c r="U181" i="16"/>
  <c r="I183" i="16"/>
  <c r="I172" i="16" s="1"/>
  <c r="K172" i="16" s="1"/>
  <c r="K184" i="16"/>
  <c r="L187" i="16"/>
  <c r="M187" i="16"/>
  <c r="N187" i="16"/>
  <c r="Q187" i="16"/>
  <c r="T187" i="16" s="1"/>
  <c r="R187" i="16"/>
  <c r="S187" i="16"/>
  <c r="O190" i="16"/>
  <c r="P190" i="16"/>
  <c r="T190" i="16"/>
  <c r="U190" i="16"/>
  <c r="L191" i="16"/>
  <c r="L189" i="16" s="1"/>
  <c r="M191" i="16"/>
  <c r="N191" i="16"/>
  <c r="Q191" i="16"/>
  <c r="Q189" i="16" s="1"/>
  <c r="R191" i="16"/>
  <c r="R189" i="16" s="1"/>
  <c r="S191" i="16"/>
  <c r="S189" i="16" s="1"/>
  <c r="O193" i="16"/>
  <c r="P193" i="16"/>
  <c r="T193" i="16"/>
  <c r="U193" i="16"/>
  <c r="L194" i="16"/>
  <c r="L192" i="16" s="1"/>
  <c r="O192" i="16" s="1"/>
  <c r="M194" i="16"/>
  <c r="P194" i="16" s="1"/>
  <c r="N194" i="16"/>
  <c r="N192" i="16" s="1"/>
  <c r="Q194" i="16"/>
  <c r="Q192" i="16" s="1"/>
  <c r="T192" i="16" s="1"/>
  <c r="R194" i="16"/>
  <c r="R192" i="16" s="1"/>
  <c r="U192" i="16" s="1"/>
  <c r="S194" i="16"/>
  <c r="S192" i="16" s="1"/>
  <c r="J195" i="16"/>
  <c r="L196" i="16"/>
  <c r="O196" i="16" s="1"/>
  <c r="P196" i="16"/>
  <c r="I198" i="16"/>
  <c r="I195" i="16" s="1"/>
  <c r="K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K229" i="16" s="1"/>
  <c r="I230" i="16"/>
  <c r="K230" i="16" s="1"/>
  <c r="N233" i="16"/>
  <c r="N234" i="16"/>
  <c r="N235" i="16"/>
  <c r="N236" i="16"/>
  <c r="J238" i="16"/>
  <c r="I240" i="16"/>
  <c r="K240" i="16" s="1"/>
  <c r="J240" i="16"/>
  <c r="I241" i="16"/>
  <c r="J241" i="16"/>
  <c r="K241" i="16"/>
  <c r="J242" i="16"/>
  <c r="N243" i="16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I253" i="16" s="1"/>
  <c r="K253" i="16" s="1"/>
  <c r="K262" i="16"/>
  <c r="K263" i="16"/>
  <c r="J265" i="16"/>
  <c r="L267" i="16"/>
  <c r="M267" i="16"/>
  <c r="N267" i="16"/>
  <c r="O267" i="16"/>
  <c r="P267" i="16"/>
  <c r="Q267" i="16"/>
  <c r="R267" i="16"/>
  <c r="S267" i="16"/>
  <c r="O270" i="16"/>
  <c r="P270" i="16"/>
  <c r="T270" i="16"/>
  <c r="U270" i="16"/>
  <c r="L271" i="16"/>
  <c r="M271" i="16"/>
  <c r="N271" i="16"/>
  <c r="Q271" i="16"/>
  <c r="Q269" i="16" s="1"/>
  <c r="R271" i="16"/>
  <c r="S271" i="16"/>
  <c r="S268" i="16" s="1"/>
  <c r="S266" i="16" s="1"/>
  <c r="Q272" i="16"/>
  <c r="R272" i="16"/>
  <c r="S272" i="16"/>
  <c r="T272" i="16"/>
  <c r="U272" i="16"/>
  <c r="O273" i="16"/>
  <c r="P273" i="16"/>
  <c r="T273" i="16"/>
  <c r="U273" i="16"/>
  <c r="L274" i="16"/>
  <c r="M274" i="16"/>
  <c r="N274" i="16"/>
  <c r="N272" i="16" s="1"/>
  <c r="T274" i="16"/>
  <c r="U274" i="16"/>
  <c r="I276" i="16"/>
  <c r="K276" i="16" s="1"/>
  <c r="J281" i="16"/>
  <c r="L283" i="16"/>
  <c r="M283" i="16"/>
  <c r="N283" i="16"/>
  <c r="Q283" i="16"/>
  <c r="T283" i="16" s="1"/>
  <c r="R283" i="16"/>
  <c r="S283" i="16"/>
  <c r="Q284" i="16"/>
  <c r="R284" i="16"/>
  <c r="S284" i="16"/>
  <c r="T284" i="16"/>
  <c r="U284" i="16"/>
  <c r="Q285" i="16"/>
  <c r="T285" i="16" s="1"/>
  <c r="R285" i="16"/>
  <c r="S285" i="16"/>
  <c r="U285" i="16"/>
  <c r="O286" i="16"/>
  <c r="P286" i="16"/>
  <c r="T286" i="16"/>
  <c r="U286" i="16"/>
  <c r="L287" i="16"/>
  <c r="L285" i="16" s="1"/>
  <c r="M287" i="16"/>
  <c r="N287" i="16"/>
  <c r="N285" i="16" s="1"/>
  <c r="T287" i="16"/>
  <c r="U287" i="16"/>
  <c r="Q288" i="16"/>
  <c r="R288" i="16"/>
  <c r="U288" i="16" s="1"/>
  <c r="S288" i="16"/>
  <c r="T288" i="16"/>
  <c r="O289" i="16"/>
  <c r="P289" i="16"/>
  <c r="T289" i="16"/>
  <c r="U289" i="16"/>
  <c r="L290" i="16"/>
  <c r="O290" i="16" s="1"/>
  <c r="M290" i="16"/>
  <c r="M288" i="16" s="1"/>
  <c r="P288" i="16" s="1"/>
  <c r="N290" i="16"/>
  <c r="N288" i="16" s="1"/>
  <c r="T290" i="16"/>
  <c r="U290" i="16"/>
  <c r="I292" i="16"/>
  <c r="I293" i="16"/>
  <c r="I280" i="16" s="1"/>
  <c r="K280" i="16" s="1"/>
  <c r="J293" i="16"/>
  <c r="J280" i="16" s="1"/>
  <c r="I295" i="16"/>
  <c r="K295" i="16" s="1"/>
  <c r="I296" i="16"/>
  <c r="K296" i="16" s="1"/>
  <c r="I298" i="16"/>
  <c r="K298" i="16" s="1"/>
  <c r="I299" i="16"/>
  <c r="K299" i="16" s="1"/>
  <c r="J302" i="16"/>
  <c r="L304" i="16"/>
  <c r="M304" i="16"/>
  <c r="N304" i="16"/>
  <c r="O304" i="16"/>
  <c r="Q304" i="16"/>
  <c r="T304" i="16" s="1"/>
  <c r="R304" i="16"/>
  <c r="S304" i="16"/>
  <c r="U304" i="16"/>
  <c r="O307" i="16"/>
  <c r="P307" i="16"/>
  <c r="T307" i="16"/>
  <c r="U307" i="16"/>
  <c r="L308" i="16"/>
  <c r="L306" i="16" s="1"/>
  <c r="O306" i="16" s="1"/>
  <c r="M308" i="16"/>
  <c r="P308" i="16" s="1"/>
  <c r="N308" i="16"/>
  <c r="N306" i="16" s="1"/>
  <c r="Q308" i="16"/>
  <c r="Q305" i="16" s="1"/>
  <c r="R308" i="16"/>
  <c r="S308" i="16"/>
  <c r="S305" i="16" s="1"/>
  <c r="Q309" i="16"/>
  <c r="R309" i="16"/>
  <c r="S309" i="16"/>
  <c r="T309" i="16"/>
  <c r="U309" i="16"/>
  <c r="O310" i="16"/>
  <c r="P310" i="16"/>
  <c r="T310" i="16"/>
  <c r="U310" i="16"/>
  <c r="L311" i="16"/>
  <c r="L309" i="16" s="1"/>
  <c r="O309" i="16" s="1"/>
  <c r="M311" i="16"/>
  <c r="P311" i="16" s="1"/>
  <c r="N311" i="16"/>
  <c r="N309" i="16" s="1"/>
  <c r="T311" i="16"/>
  <c r="U311" i="16"/>
  <c r="I314" i="16"/>
  <c r="I302" i="16" s="1"/>
  <c r="K302" i="16" s="1"/>
  <c r="J319" i="16"/>
  <c r="R320" i="16"/>
  <c r="U320" i="16"/>
  <c r="L321" i="16"/>
  <c r="M321" i="16"/>
  <c r="N321" i="16"/>
  <c r="O321" i="16"/>
  <c r="Q321" i="16"/>
  <c r="Q320" i="16" s="1"/>
  <c r="T320" i="16" s="1"/>
  <c r="R321" i="16"/>
  <c r="S321" i="16"/>
  <c r="U321" i="16"/>
  <c r="Q322" i="16"/>
  <c r="T322" i="16" s="1"/>
  <c r="R322" i="16"/>
  <c r="S322" i="16"/>
  <c r="U322" i="16"/>
  <c r="Q323" i="16"/>
  <c r="T323" i="16" s="1"/>
  <c r="R323" i="16"/>
  <c r="U323" i="16" s="1"/>
  <c r="S323" i="16"/>
  <c r="O324" i="16"/>
  <c r="P324" i="16"/>
  <c r="T324" i="16"/>
  <c r="U324" i="16"/>
  <c r="L325" i="16"/>
  <c r="L323" i="16" s="1"/>
  <c r="O323" i="16" s="1"/>
  <c r="M325" i="16"/>
  <c r="M323" i="16" s="1"/>
  <c r="P323" i="16" s="1"/>
  <c r="N325" i="16"/>
  <c r="N323" i="16" s="1"/>
  <c r="T325" i="16"/>
  <c r="U325" i="16"/>
  <c r="Q326" i="16"/>
  <c r="R326" i="16"/>
  <c r="S326" i="16"/>
  <c r="T326" i="16"/>
  <c r="U326" i="16"/>
  <c r="O327" i="16"/>
  <c r="P327" i="16"/>
  <c r="T327" i="16"/>
  <c r="U327" i="16"/>
  <c r="L328" i="16"/>
  <c r="O328" i="16" s="1"/>
  <c r="M328" i="16"/>
  <c r="M326" i="16" s="1"/>
  <c r="P326" i="16" s="1"/>
  <c r="N328" i="16"/>
  <c r="N326" i="16" s="1"/>
  <c r="T328" i="16"/>
  <c r="U328" i="16"/>
  <c r="I330" i="16"/>
  <c r="K330" i="16" s="1"/>
  <c r="I332" i="16"/>
  <c r="S333" i="16"/>
  <c r="L334" i="16"/>
  <c r="O334" i="16" s="1"/>
  <c r="M334" i="16"/>
  <c r="N334" i="16"/>
  <c r="P334" i="16"/>
  <c r="Q334" i="16"/>
  <c r="R334" i="16"/>
  <c r="R333" i="16" s="1"/>
  <c r="U333" i="16" s="1"/>
  <c r="S334" i="16"/>
  <c r="T334" i="16"/>
  <c r="Q335" i="16"/>
  <c r="T335" i="16" s="1"/>
  <c r="R335" i="16"/>
  <c r="U335" i="16" s="1"/>
  <c r="S335" i="16"/>
  <c r="Q336" i="16"/>
  <c r="R336" i="16"/>
  <c r="U336" i="16" s="1"/>
  <c r="S336" i="16"/>
  <c r="T336" i="16"/>
  <c r="O337" i="16"/>
  <c r="P337" i="16"/>
  <c r="T337" i="16"/>
  <c r="U337" i="16"/>
  <c r="L338" i="16"/>
  <c r="M338" i="16"/>
  <c r="N338" i="16"/>
  <c r="T338" i="16"/>
  <c r="U338" i="16"/>
  <c r="Q339" i="16"/>
  <c r="T339" i="16" s="1"/>
  <c r="R339" i="16"/>
  <c r="S339" i="16"/>
  <c r="U339" i="16"/>
  <c r="O340" i="16"/>
  <c r="P340" i="16"/>
  <c r="T340" i="16"/>
  <c r="U340" i="16"/>
  <c r="L341" i="16"/>
  <c r="L339" i="16" s="1"/>
  <c r="O339" i="16" s="1"/>
  <c r="M341" i="16"/>
  <c r="P341" i="16" s="1"/>
  <c r="N341" i="16"/>
  <c r="N339" i="16" s="1"/>
  <c r="T341" i="16"/>
  <c r="U341" i="16"/>
  <c r="J344" i="16"/>
  <c r="K344" i="16"/>
  <c r="I346" i="16"/>
  <c r="J346" i="16"/>
  <c r="J347" i="16"/>
  <c r="J348" i="16"/>
  <c r="J349" i="16"/>
  <c r="D350" i="16"/>
  <c r="J352" i="16"/>
  <c r="J353" i="16"/>
  <c r="J354" i="16"/>
  <c r="Q356" i="16"/>
  <c r="T356" i="16" s="1"/>
  <c r="L357" i="16"/>
  <c r="M357" i="16"/>
  <c r="N357" i="16"/>
  <c r="Q357" i="16"/>
  <c r="R357" i="16"/>
  <c r="S357" i="16"/>
  <c r="S356" i="16" s="1"/>
  <c r="T357" i="16"/>
  <c r="Q358" i="16"/>
  <c r="R358" i="16"/>
  <c r="U358" i="16" s="1"/>
  <c r="S358" i="16"/>
  <c r="T358" i="16"/>
  <c r="Q359" i="16"/>
  <c r="T359" i="16" s="1"/>
  <c r="R359" i="16"/>
  <c r="U359" i="16" s="1"/>
  <c r="S359" i="16"/>
  <c r="O360" i="16"/>
  <c r="P360" i="16"/>
  <c r="T360" i="16"/>
  <c r="U360" i="16"/>
  <c r="L361" i="16"/>
  <c r="M361" i="16"/>
  <c r="M359" i="16" s="1"/>
  <c r="N361" i="16"/>
  <c r="T361" i="16"/>
  <c r="U361" i="16"/>
  <c r="Q362" i="16"/>
  <c r="T362" i="16" s="1"/>
  <c r="R362" i="16"/>
  <c r="S362" i="16"/>
  <c r="U362" i="16"/>
  <c r="O363" i="16"/>
  <c r="P363" i="16"/>
  <c r="T363" i="16"/>
  <c r="U363" i="16"/>
  <c r="L364" i="16"/>
  <c r="L362" i="16" s="1"/>
  <c r="O362" i="16" s="1"/>
  <c r="M364" i="16"/>
  <c r="P364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J371" i="16"/>
  <c r="J365" i="16" s="1"/>
  <c r="J372" i="16"/>
  <c r="K372" i="16"/>
  <c r="D373" i="16"/>
  <c r="L376" i="16"/>
  <c r="M376" i="16"/>
  <c r="N376" i="16"/>
  <c r="O376" i="16"/>
  <c r="P376" i="16"/>
  <c r="Q376" i="16"/>
  <c r="R376" i="16"/>
  <c r="S376" i="16"/>
  <c r="T376" i="16"/>
  <c r="U376" i="16"/>
  <c r="O379" i="16"/>
  <c r="P379" i="16"/>
  <c r="T379" i="16"/>
  <c r="U379" i="16"/>
  <c r="L380" i="16"/>
  <c r="O380" i="16" s="1"/>
  <c r="M380" i="16"/>
  <c r="P380" i="16" s="1"/>
  <c r="N380" i="16"/>
  <c r="N378" i="16" s="1"/>
  <c r="Q380" i="16"/>
  <c r="Q378" i="16" s="1"/>
  <c r="R380" i="16"/>
  <c r="R378" i="16" s="1"/>
  <c r="S380" i="16"/>
  <c r="S377" i="16" s="1"/>
  <c r="S375" i="16" s="1"/>
  <c r="Q381" i="16"/>
  <c r="R381" i="16"/>
  <c r="U381" i="16" s="1"/>
  <c r="S381" i="16"/>
  <c r="T381" i="16"/>
  <c r="O382" i="16"/>
  <c r="P382" i="16"/>
  <c r="T382" i="16"/>
  <c r="U382" i="16"/>
  <c r="L383" i="16"/>
  <c r="O383" i="16" s="1"/>
  <c r="M383" i="16"/>
  <c r="M381" i="16" s="1"/>
  <c r="P381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J388" i="16"/>
  <c r="I391" i="16"/>
  <c r="K391" i="16" s="1"/>
  <c r="J391" i="16"/>
  <c r="L392" i="16"/>
  <c r="O392" i="16" s="1"/>
  <c r="L393" i="16"/>
  <c r="O393" i="16" s="1"/>
  <c r="M393" i="16"/>
  <c r="M392" i="16" s="1"/>
  <c r="P392" i="16" s="1"/>
  <c r="N393" i="16"/>
  <c r="N392" i="16" s="1"/>
  <c r="P393" i="16"/>
  <c r="Q393" i="16"/>
  <c r="R393" i="16"/>
  <c r="U393" i="16" s="1"/>
  <c r="S393" i="16"/>
  <c r="T393" i="16"/>
  <c r="L394" i="16"/>
  <c r="O394" i="16" s="1"/>
  <c r="M394" i="16"/>
  <c r="N394" i="16"/>
  <c r="P394" i="16"/>
  <c r="L395" i="16"/>
  <c r="O395" i="16" s="1"/>
  <c r="M395" i="16"/>
  <c r="N395" i="16"/>
  <c r="P395" i="16"/>
  <c r="O396" i="16"/>
  <c r="P396" i="16"/>
  <c r="T396" i="16"/>
  <c r="U396" i="16"/>
  <c r="O397" i="16"/>
  <c r="P397" i="16"/>
  <c r="Q397" i="16"/>
  <c r="Q394" i="16" s="1"/>
  <c r="T394" i="16" s="1"/>
  <c r="R397" i="16"/>
  <c r="R394" i="16" s="1"/>
  <c r="U394" i="16" s="1"/>
  <c r="S397" i="16"/>
  <c r="S395" i="16" s="1"/>
  <c r="L398" i="16"/>
  <c r="M398" i="16"/>
  <c r="P398" i="16" s="1"/>
  <c r="N398" i="16"/>
  <c r="O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N414" i="16"/>
  <c r="P414" i="16"/>
  <c r="Q414" i="16"/>
  <c r="R414" i="16"/>
  <c r="U414" i="16" s="1"/>
  <c r="S414" i="16"/>
  <c r="O417" i="16"/>
  <c r="P417" i="16"/>
  <c r="T417" i="16"/>
  <c r="U417" i="16"/>
  <c r="L418" i="16"/>
  <c r="M418" i="16"/>
  <c r="M416" i="16" s="1"/>
  <c r="N418" i="16"/>
  <c r="N416" i="16" s="1"/>
  <c r="Q418" i="16"/>
  <c r="Q415" i="16" s="1"/>
  <c r="R418" i="16"/>
  <c r="R415" i="16" s="1"/>
  <c r="R413" i="16" s="1"/>
  <c r="S418" i="16"/>
  <c r="Q419" i="16"/>
  <c r="R419" i="16"/>
  <c r="S419" i="16"/>
  <c r="T419" i="16"/>
  <c r="U419" i="16"/>
  <c r="O420" i="16"/>
  <c r="P420" i="16"/>
  <c r="T420" i="16"/>
  <c r="U420" i="16"/>
  <c r="L421" i="16"/>
  <c r="O421" i="16" s="1"/>
  <c r="M421" i="16"/>
  <c r="M419" i="16" s="1"/>
  <c r="P419" i="16" s="1"/>
  <c r="N421" i="16"/>
  <c r="N419" i="16" s="1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K440" i="16" s="1"/>
  <c r="I441" i="16"/>
  <c r="K441" i="16" s="1"/>
  <c r="J441" i="16"/>
  <c r="J446" i="16"/>
  <c r="J440" i="16" s="1"/>
  <c r="J423" i="16" s="1"/>
  <c r="J412" i="16" s="1"/>
  <c r="J447" i="16"/>
  <c r="J456" i="16"/>
  <c r="I457" i="16"/>
  <c r="I456" i="16" s="1"/>
  <c r="J457" i="16"/>
  <c r="I458" i="16"/>
  <c r="J459" i="16"/>
  <c r="J460" i="16"/>
  <c r="J458" i="16" s="1"/>
  <c r="J467" i="16"/>
  <c r="J468" i="16"/>
  <c r="J475" i="16"/>
  <c r="K475" i="16"/>
  <c r="J476" i="16"/>
  <c r="K476" i="16"/>
  <c r="J477" i="16"/>
  <c r="K477" i="16"/>
  <c r="I484" i="16"/>
  <c r="K484" i="16" s="1"/>
  <c r="J484" i="16"/>
  <c r="I485" i="16"/>
  <c r="K485" i="16" s="1"/>
  <c r="J485" i="16"/>
  <c r="L494" i="16"/>
  <c r="O494" i="16" s="1"/>
  <c r="M494" i="16"/>
  <c r="N494" i="16"/>
  <c r="P494" i="16"/>
  <c r="Q494" i="16"/>
  <c r="R494" i="16"/>
  <c r="U494" i="16" s="1"/>
  <c r="S494" i="16"/>
  <c r="T494" i="16"/>
  <c r="O497" i="16"/>
  <c r="P497" i="16"/>
  <c r="T497" i="16"/>
  <c r="U497" i="16"/>
  <c r="L498" i="16"/>
  <c r="M498" i="16"/>
  <c r="M496" i="16" s="1"/>
  <c r="P496" i="16" s="1"/>
  <c r="N498" i="16"/>
  <c r="N496" i="16" s="1"/>
  <c r="Q498" i="16"/>
  <c r="Q495" i="16" s="1"/>
  <c r="T495" i="16" s="1"/>
  <c r="R498" i="16"/>
  <c r="U498" i="16" s="1"/>
  <c r="S498" i="16"/>
  <c r="S496" i="16" s="1"/>
  <c r="Q499" i="16"/>
  <c r="T499" i="16" s="1"/>
  <c r="R499" i="16"/>
  <c r="U499" i="16" s="1"/>
  <c r="S499" i="16"/>
  <c r="O500" i="16"/>
  <c r="P500" i="16"/>
  <c r="T500" i="16"/>
  <c r="U500" i="16"/>
  <c r="L501" i="16"/>
  <c r="L499" i="16" s="1"/>
  <c r="O499" i="16" s="1"/>
  <c r="M501" i="16"/>
  <c r="M499" i="16" s="1"/>
  <c r="P499" i="16" s="1"/>
  <c r="N501" i="16"/>
  <c r="N499" i="16" s="1"/>
  <c r="T501" i="16"/>
  <c r="U501" i="16"/>
  <c r="I503" i="16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O514" i="16"/>
  <c r="P514" i="16"/>
  <c r="Q514" i="16"/>
  <c r="R514" i="16"/>
  <c r="S514" i="16"/>
  <c r="T514" i="16"/>
  <c r="U514" i="16"/>
  <c r="Q515" i="16"/>
  <c r="T515" i="16" s="1"/>
  <c r="R515" i="16"/>
  <c r="R513" i="16" s="1"/>
  <c r="U513" i="16" s="1"/>
  <c r="S515" i="16"/>
  <c r="S513" i="16" s="1"/>
  <c r="Q516" i="16"/>
  <c r="R516" i="16"/>
  <c r="S516" i="16"/>
  <c r="T516" i="16"/>
  <c r="U516" i="16"/>
  <c r="O517" i="16"/>
  <c r="P517" i="16"/>
  <c r="T517" i="16"/>
  <c r="U517" i="16"/>
  <c r="L518" i="16"/>
  <c r="O518" i="16" s="1"/>
  <c r="M518" i="16"/>
  <c r="P518" i="16" s="1"/>
  <c r="N518" i="16"/>
  <c r="N516" i="16" s="1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O521" i="16" s="1"/>
  <c r="M521" i="16"/>
  <c r="M519" i="16" s="1"/>
  <c r="P519" i="16" s="1"/>
  <c r="N521" i="16"/>
  <c r="T521" i="16"/>
  <c r="U521" i="16"/>
  <c r="K523" i="16"/>
  <c r="K524" i="16"/>
  <c r="I533" i="16"/>
  <c r="K533" i="16" s="1"/>
  <c r="J533" i="16"/>
  <c r="S534" i="16"/>
  <c r="L535" i="16"/>
  <c r="M535" i="16"/>
  <c r="N535" i="16"/>
  <c r="O535" i="16"/>
  <c r="P535" i="16"/>
  <c r="Q535" i="16"/>
  <c r="Q534" i="16" s="1"/>
  <c r="T534" i="16" s="1"/>
  <c r="R535" i="16"/>
  <c r="R534" i="16" s="1"/>
  <c r="U534" i="16" s="1"/>
  <c r="S535" i="16"/>
  <c r="Q536" i="16"/>
  <c r="R536" i="16"/>
  <c r="U536" i="16" s="1"/>
  <c r="S536" i="16"/>
  <c r="T536" i="16"/>
  <c r="Q537" i="16"/>
  <c r="R537" i="16"/>
  <c r="S537" i="16"/>
  <c r="T537" i="16"/>
  <c r="U537" i="16"/>
  <c r="O538" i="16"/>
  <c r="P538" i="16"/>
  <c r="T538" i="16"/>
  <c r="U538" i="16"/>
  <c r="L539" i="16"/>
  <c r="M539" i="16"/>
  <c r="N539" i="16"/>
  <c r="N537" i="16" s="1"/>
  <c r="T539" i="16"/>
  <c r="U539" i="16"/>
  <c r="Q540" i="16"/>
  <c r="T540" i="16" s="1"/>
  <c r="R540" i="16"/>
  <c r="U540" i="16" s="1"/>
  <c r="S540" i="16"/>
  <c r="O541" i="16"/>
  <c r="P541" i="16"/>
  <c r="T541" i="16"/>
  <c r="U541" i="16"/>
  <c r="L542" i="16"/>
  <c r="L540" i="16" s="1"/>
  <c r="O540" i="16" s="1"/>
  <c r="M542" i="16"/>
  <c r="M540" i="16" s="1"/>
  <c r="P540" i="16" s="1"/>
  <c r="N542" i="16"/>
  <c r="N540" i="16" s="1"/>
  <c r="T542" i="16"/>
  <c r="U542" i="16"/>
  <c r="I554" i="16"/>
  <c r="J554" i="16"/>
  <c r="K554" i="16"/>
  <c r="S555" i="16"/>
  <c r="L556" i="16"/>
  <c r="O556" i="16" s="1"/>
  <c r="M556" i="16"/>
  <c r="P556" i="16" s="1"/>
  <c r="N556" i="16"/>
  <c r="Q556" i="16"/>
  <c r="R556" i="16"/>
  <c r="R555" i="16" s="1"/>
  <c r="U555" i="16" s="1"/>
  <c r="S556" i="16"/>
  <c r="T556" i="16"/>
  <c r="U556" i="16"/>
  <c r="Q557" i="16"/>
  <c r="Q555" i="16" s="1"/>
  <c r="T555" i="16" s="1"/>
  <c r="R557" i="16"/>
  <c r="S557" i="16"/>
  <c r="U557" i="16"/>
  <c r="Q558" i="16"/>
  <c r="T558" i="16" s="1"/>
  <c r="R558" i="16"/>
  <c r="U558" i="16" s="1"/>
  <c r="S558" i="16"/>
  <c r="O559" i="16"/>
  <c r="P559" i="16"/>
  <c r="T559" i="16"/>
  <c r="U559" i="16"/>
  <c r="L560" i="16"/>
  <c r="L558" i="16" s="1"/>
  <c r="O558" i="16" s="1"/>
  <c r="M560" i="16"/>
  <c r="M558" i="16" s="1"/>
  <c r="P558" i="16" s="1"/>
  <c r="N560" i="16"/>
  <c r="N558" i="16" s="1"/>
  <c r="T560" i="16"/>
  <c r="U560" i="16"/>
  <c r="Q561" i="16"/>
  <c r="R561" i="16"/>
  <c r="S561" i="16"/>
  <c r="T561" i="16"/>
  <c r="U561" i="16"/>
  <c r="O562" i="16"/>
  <c r="P562" i="16"/>
  <c r="T562" i="16"/>
  <c r="U562" i="16"/>
  <c r="L563" i="16"/>
  <c r="O563" i="16" s="1"/>
  <c r="M563" i="16"/>
  <c r="P563" i="16" s="1"/>
  <c r="N563" i="16"/>
  <c r="N561" i="16" s="1"/>
  <c r="T563" i="16"/>
  <c r="U563" i="16"/>
  <c r="I575" i="16"/>
  <c r="J575" i="16"/>
  <c r="S576" i="16"/>
  <c r="L577" i="16"/>
  <c r="M577" i="16"/>
  <c r="N577" i="16"/>
  <c r="O577" i="16"/>
  <c r="P577" i="16"/>
  <c r="Q577" i="16"/>
  <c r="Q576" i="16" s="1"/>
  <c r="T576" i="16" s="1"/>
  <c r="R577" i="16"/>
  <c r="R576" i="16" s="1"/>
  <c r="U576" i="16" s="1"/>
  <c r="S577" i="16"/>
  <c r="U577" i="16"/>
  <c r="Q578" i="16"/>
  <c r="R578" i="16"/>
  <c r="U578" i="16" s="1"/>
  <c r="S578" i="16"/>
  <c r="T578" i="16"/>
  <c r="Q579" i="16"/>
  <c r="R579" i="16"/>
  <c r="S579" i="16"/>
  <c r="T579" i="16"/>
  <c r="U579" i="16"/>
  <c r="O580" i="16"/>
  <c r="P580" i="16"/>
  <c r="T580" i="16"/>
  <c r="U580" i="16"/>
  <c r="L581" i="16"/>
  <c r="M581" i="16"/>
  <c r="M579" i="16" s="1"/>
  <c r="N581" i="16"/>
  <c r="N579" i="16" s="1"/>
  <c r="T581" i="16"/>
  <c r="U581" i="16"/>
  <c r="Q582" i="16"/>
  <c r="T582" i="16" s="1"/>
  <c r="R582" i="16"/>
  <c r="U582" i="16" s="1"/>
  <c r="S582" i="16"/>
  <c r="O583" i="16"/>
  <c r="P583" i="16"/>
  <c r="T583" i="16"/>
  <c r="U583" i="16"/>
  <c r="L584" i="16"/>
  <c r="L582" i="16" s="1"/>
  <c r="O582" i="16" s="1"/>
  <c r="M584" i="16"/>
  <c r="M582" i="16" s="1"/>
  <c r="P582" i="16" s="1"/>
  <c r="N584" i="16"/>
  <c r="N582" i="16" s="1"/>
  <c r="T584" i="16"/>
  <c r="U584" i="16"/>
  <c r="K586" i="16"/>
  <c r="K587" i="16"/>
  <c r="L600" i="16"/>
  <c r="M600" i="16"/>
  <c r="N600" i="16"/>
  <c r="O600" i="16"/>
  <c r="Q600" i="16"/>
  <c r="R600" i="16"/>
  <c r="S600" i="16"/>
  <c r="T600" i="16"/>
  <c r="U600" i="16"/>
  <c r="O603" i="16"/>
  <c r="P603" i="16"/>
  <c r="T603" i="16"/>
  <c r="U603" i="16"/>
  <c r="L604" i="16"/>
  <c r="L602" i="16" s="1"/>
  <c r="M604" i="16"/>
  <c r="N604" i="16"/>
  <c r="Q604" i="16"/>
  <c r="Q602" i="16" s="1"/>
  <c r="T602" i="16" s="1"/>
  <c r="R604" i="16"/>
  <c r="R602" i="16" s="1"/>
  <c r="U602" i="16" s="1"/>
  <c r="S604" i="16"/>
  <c r="S602" i="16" s="1"/>
  <c r="O606" i="16"/>
  <c r="P606" i="16"/>
  <c r="T606" i="16"/>
  <c r="U606" i="16"/>
  <c r="L607" i="16"/>
  <c r="L605" i="16" s="1"/>
  <c r="O605" i="16" s="1"/>
  <c r="M607" i="16"/>
  <c r="P607" i="16" s="1"/>
  <c r="N607" i="16"/>
  <c r="N605" i="16" s="1"/>
  <c r="Q607" i="16"/>
  <c r="T607" i="16" s="1"/>
  <c r="R607" i="16"/>
  <c r="R605" i="16" s="1"/>
  <c r="U605" i="16" s="1"/>
  <c r="S607" i="16"/>
  <c r="S605" i="16" s="1"/>
  <c r="N616" i="16"/>
  <c r="L617" i="16"/>
  <c r="M617" i="16"/>
  <c r="M616" i="16" s="1"/>
  <c r="P616" i="16" s="1"/>
  <c r="N617" i="16"/>
  <c r="Q617" i="16"/>
  <c r="R617" i="16"/>
  <c r="S617" i="16"/>
  <c r="T617" i="16"/>
  <c r="L618" i="16"/>
  <c r="O618" i="16" s="1"/>
  <c r="M618" i="16"/>
  <c r="N618" i="16"/>
  <c r="P618" i="16"/>
  <c r="L619" i="16"/>
  <c r="O619" i="16" s="1"/>
  <c r="M619" i="16"/>
  <c r="N619" i="16"/>
  <c r="P619" i="16"/>
  <c r="O620" i="16"/>
  <c r="P620" i="16"/>
  <c r="T620" i="16"/>
  <c r="U620" i="16"/>
  <c r="O621" i="16"/>
  <c r="P621" i="16"/>
  <c r="Q621" i="16"/>
  <c r="Q618" i="16" s="1"/>
  <c r="Q616" i="16" s="1"/>
  <c r="R621" i="16"/>
  <c r="R619" i="16" s="1"/>
  <c r="S621" i="16"/>
  <c r="S618" i="16" s="1"/>
  <c r="L622" i="16"/>
  <c r="M622" i="16"/>
  <c r="P622" i="16" s="1"/>
  <c r="N622" i="16"/>
  <c r="O622" i="16"/>
  <c r="Q622" i="16"/>
  <c r="R622" i="16"/>
  <c r="S622" i="16"/>
  <c r="T622" i="16"/>
  <c r="U622" i="16"/>
  <c r="O623" i="16"/>
  <c r="P623" i="16"/>
  <c r="T623" i="16"/>
  <c r="U623" i="16"/>
  <c r="O624" i="16"/>
  <c r="P624" i="16"/>
  <c r="T624" i="16"/>
  <c r="U624" i="16"/>
  <c r="I626" i="16"/>
  <c r="I615" i="16" s="1"/>
  <c r="K615" i="16" s="1"/>
  <c r="J626" i="16"/>
  <c r="J615" i="16" s="1"/>
  <c r="I627" i="16"/>
  <c r="K627" i="16" s="1"/>
  <c r="I628" i="16"/>
  <c r="K628" i="16" s="1"/>
  <c r="J632" i="16"/>
  <c r="I635" i="16"/>
  <c r="K635" i="16" s="1"/>
  <c r="J635" i="16"/>
  <c r="J636" i="16"/>
  <c r="M642" i="16"/>
  <c r="P642" i="16" s="1"/>
  <c r="L643" i="16"/>
  <c r="L642" i="16" s="1"/>
  <c r="O642" i="16" s="1"/>
  <c r="M643" i="16"/>
  <c r="P643" i="16" s="1"/>
  <c r="N643" i="16"/>
  <c r="N642" i="16" s="1"/>
  <c r="O643" i="16"/>
  <c r="Q643" i="16"/>
  <c r="R643" i="16"/>
  <c r="S643" i="16"/>
  <c r="L644" i="16"/>
  <c r="M644" i="16"/>
  <c r="P644" i="16" s="1"/>
  <c r="N644" i="16"/>
  <c r="O644" i="16"/>
  <c r="L645" i="16"/>
  <c r="M645" i="16"/>
  <c r="N645" i="16"/>
  <c r="O645" i="16"/>
  <c r="P645" i="16"/>
  <c r="O646" i="16"/>
  <c r="P646" i="16"/>
  <c r="T646" i="16"/>
  <c r="U646" i="16"/>
  <c r="O647" i="16"/>
  <c r="P647" i="16"/>
  <c r="Q647" i="16"/>
  <c r="Q645" i="16" s="1"/>
  <c r="R647" i="16"/>
  <c r="R644" i="16" s="1"/>
  <c r="S647" i="16"/>
  <c r="S644" i="16" s="1"/>
  <c r="S642" i="16" s="1"/>
  <c r="L648" i="16"/>
  <c r="O648" i="16" s="1"/>
  <c r="M648" i="16"/>
  <c r="P648" i="16" s="1"/>
  <c r="N648" i="16"/>
  <c r="Q648" i="16"/>
  <c r="R648" i="16"/>
  <c r="U648" i="16" s="1"/>
  <c r="S648" i="16"/>
  <c r="T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K673" i="16" s="1"/>
  <c r="J673" i="16"/>
  <c r="I674" i="16"/>
  <c r="I675" i="16"/>
  <c r="I676" i="16"/>
  <c r="J676" i="16"/>
  <c r="J677" i="16"/>
  <c r="I678" i="16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M690" i="16"/>
  <c r="P690" i="16" s="1"/>
  <c r="O690" i="16"/>
  <c r="L691" i="16"/>
  <c r="L690" i="16" s="1"/>
  <c r="M691" i="16"/>
  <c r="P691" i="16" s="1"/>
  <c r="N691" i="16"/>
  <c r="N690" i="16" s="1"/>
  <c r="Q691" i="16"/>
  <c r="R691" i="16"/>
  <c r="U691" i="16" s="1"/>
  <c r="S691" i="16"/>
  <c r="L692" i="16"/>
  <c r="M692" i="16"/>
  <c r="P692" i="16" s="1"/>
  <c r="N692" i="16"/>
  <c r="O692" i="16"/>
  <c r="L693" i="16"/>
  <c r="M693" i="16"/>
  <c r="P693" i="16" s="1"/>
  <c r="N693" i="16"/>
  <c r="O693" i="16"/>
  <c r="O694" i="16"/>
  <c r="P694" i="16"/>
  <c r="T694" i="16"/>
  <c r="U694" i="16"/>
  <c r="O695" i="16"/>
  <c r="P695" i="16"/>
  <c r="Q695" i="16"/>
  <c r="Q693" i="16" s="1"/>
  <c r="R695" i="16"/>
  <c r="R692" i="16" s="1"/>
  <c r="S695" i="16"/>
  <c r="S693" i="16" s="1"/>
  <c r="L696" i="16"/>
  <c r="O696" i="16" s="1"/>
  <c r="M696" i="16"/>
  <c r="N696" i="16"/>
  <c r="P696" i="16"/>
  <c r="Q696" i="16"/>
  <c r="R696" i="16"/>
  <c r="U696" i="16" s="1"/>
  <c r="S696" i="16"/>
  <c r="T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708" i="16"/>
  <c r="K708" i="16"/>
  <c r="I709" i="16"/>
  <c r="J709" i="16"/>
  <c r="J710" i="16"/>
  <c r="K710" i="16"/>
  <c r="J712" i="16"/>
  <c r="K712" i="16"/>
  <c r="M714" i="16"/>
  <c r="P714" i="16" s="1"/>
  <c r="S714" i="16"/>
  <c r="L715" i="16"/>
  <c r="L714" i="16" s="1"/>
  <c r="O714" i="16" s="1"/>
  <c r="M715" i="16"/>
  <c r="P715" i="16" s="1"/>
  <c r="N715" i="16"/>
  <c r="N714" i="16" s="1"/>
  <c r="O715" i="16"/>
  <c r="Q715" i="16"/>
  <c r="Q714" i="16" s="1"/>
  <c r="T714" i="16" s="1"/>
  <c r="R715" i="16"/>
  <c r="R714" i="16" s="1"/>
  <c r="U714" i="16" s="1"/>
  <c r="S715" i="16"/>
  <c r="U715" i="16"/>
  <c r="L716" i="16"/>
  <c r="M716" i="16"/>
  <c r="P716" i="16" s="1"/>
  <c r="N716" i="16"/>
  <c r="O716" i="16"/>
  <c r="Q716" i="16"/>
  <c r="T716" i="16" s="1"/>
  <c r="R716" i="16"/>
  <c r="S716" i="16"/>
  <c r="U716" i="16"/>
  <c r="L717" i="16"/>
  <c r="M717" i="16"/>
  <c r="P717" i="16" s="1"/>
  <c r="N717" i="16"/>
  <c r="O717" i="16"/>
  <c r="Q717" i="16"/>
  <c r="T717" i="16" s="1"/>
  <c r="R717" i="16"/>
  <c r="S717" i="16"/>
  <c r="U717" i="16"/>
  <c r="O718" i="16"/>
  <c r="P718" i="16"/>
  <c r="T718" i="16"/>
  <c r="U718" i="16"/>
  <c r="O719" i="16"/>
  <c r="P719" i="16"/>
  <c r="T719" i="16"/>
  <c r="U719" i="16"/>
  <c r="L720" i="16"/>
  <c r="M720" i="16"/>
  <c r="P720" i="16" s="1"/>
  <c r="N720" i="16"/>
  <c r="O720" i="16"/>
  <c r="Q720" i="16"/>
  <c r="T720" i="16" s="1"/>
  <c r="R720" i="16"/>
  <c r="S720" i="16"/>
  <c r="U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K727" i="16" s="1"/>
  <c r="J727" i="16"/>
  <c r="M728" i="16"/>
  <c r="P728" i="16" s="1"/>
  <c r="L729" i="16"/>
  <c r="L728" i="16" s="1"/>
  <c r="O728" i="16" s="1"/>
  <c r="M729" i="16"/>
  <c r="P729" i="16" s="1"/>
  <c r="N729" i="16"/>
  <c r="N728" i="16" s="1"/>
  <c r="O729" i="16"/>
  <c r="Q729" i="16"/>
  <c r="R729" i="16"/>
  <c r="S729" i="16"/>
  <c r="U729" i="16"/>
  <c r="L730" i="16"/>
  <c r="M730" i="16"/>
  <c r="P730" i="16" s="1"/>
  <c r="N730" i="16"/>
  <c r="O730" i="16"/>
  <c r="L731" i="16"/>
  <c r="M731" i="16"/>
  <c r="P731" i="16" s="1"/>
  <c r="N731" i="16"/>
  <c r="O731" i="16"/>
  <c r="O732" i="16"/>
  <c r="P732" i="16"/>
  <c r="T732" i="16"/>
  <c r="U732" i="16"/>
  <c r="O733" i="16"/>
  <c r="P733" i="16"/>
  <c r="Q733" i="16"/>
  <c r="Q731" i="16" s="1"/>
  <c r="R733" i="16"/>
  <c r="R730" i="16" s="1"/>
  <c r="S733" i="16"/>
  <c r="S730" i="16" s="1"/>
  <c r="S728" i="16" s="1"/>
  <c r="L734" i="16"/>
  <c r="O734" i="16" s="1"/>
  <c r="M734" i="16"/>
  <c r="N734" i="16"/>
  <c r="P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N760" i="16"/>
  <c r="L761" i="16"/>
  <c r="L760" i="16" s="1"/>
  <c r="O760" i="16" s="1"/>
  <c r="M761" i="16"/>
  <c r="M760" i="16" s="1"/>
  <c r="P760" i="16" s="1"/>
  <c r="N761" i="16"/>
  <c r="P761" i="16"/>
  <c r="Q761" i="16"/>
  <c r="R761" i="16"/>
  <c r="S761" i="16"/>
  <c r="T761" i="16"/>
  <c r="L762" i="16"/>
  <c r="O762" i="16" s="1"/>
  <c r="M762" i="16"/>
  <c r="N762" i="16"/>
  <c r="P762" i="16"/>
  <c r="L763" i="16"/>
  <c r="O763" i="16" s="1"/>
  <c r="M763" i="16"/>
  <c r="N763" i="16"/>
  <c r="P763" i="16"/>
  <c r="O764" i="16"/>
  <c r="P764" i="16"/>
  <c r="T764" i="16"/>
  <c r="U764" i="16"/>
  <c r="O765" i="16"/>
  <c r="P765" i="16"/>
  <c r="Q765" i="16"/>
  <c r="Q762" i="16" s="1"/>
  <c r="R765" i="16"/>
  <c r="R763" i="16" s="1"/>
  <c r="S765" i="16"/>
  <c r="S762" i="16" s="1"/>
  <c r="L766" i="16"/>
  <c r="M766" i="16"/>
  <c r="P766" i="16" s="1"/>
  <c r="N766" i="16"/>
  <c r="O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O22" i="15" s="1"/>
  <c r="M22" i="15"/>
  <c r="N22" i="15"/>
  <c r="Q22" i="15"/>
  <c r="T22" i="15" s="1"/>
  <c r="R22" i="15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N45" i="15"/>
  <c r="P45" i="15"/>
  <c r="Q45" i="15"/>
  <c r="R45" i="15"/>
  <c r="U45" i="15" s="1"/>
  <c r="S45" i="15"/>
  <c r="T45" i="15"/>
  <c r="Q46" i="15"/>
  <c r="R46" i="15"/>
  <c r="U46" i="15" s="1"/>
  <c r="S46" i="15"/>
  <c r="T46" i="15"/>
  <c r="Q47" i="15"/>
  <c r="T47" i="15" s="1"/>
  <c r="R47" i="15"/>
  <c r="U47" i="15" s="1"/>
  <c r="S47" i="15"/>
  <c r="O48" i="15"/>
  <c r="P48" i="15"/>
  <c r="T48" i="15"/>
  <c r="U48" i="15"/>
  <c r="L49" i="15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O52" i="15" s="1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Q61" i="15"/>
  <c r="R61" i="15"/>
  <c r="U61" i="15" s="1"/>
  <c r="S61" i="15"/>
  <c r="S59" i="15" s="1"/>
  <c r="T61" i="15"/>
  <c r="Q62" i="15"/>
  <c r="R62" i="15"/>
  <c r="U62" i="15" s="1"/>
  <c r="S62" i="15"/>
  <c r="T62" i="15"/>
  <c r="O63" i="15"/>
  <c r="P63" i="15"/>
  <c r="T63" i="15"/>
  <c r="U63" i="15"/>
  <c r="L64" i="15"/>
  <c r="M64" i="15"/>
  <c r="M62" i="15" s="1"/>
  <c r="N64" i="15"/>
  <c r="N62" i="15" s="1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L65" i="15" s="1"/>
  <c r="O65" i="15" s="1"/>
  <c r="M67" i="15"/>
  <c r="N67" i="15"/>
  <c r="N65" i="15" s="1"/>
  <c r="T67" i="15"/>
  <c r="U67" i="15"/>
  <c r="L73" i="15"/>
  <c r="O73" i="15" s="1"/>
  <c r="M73" i="15"/>
  <c r="P73" i="15" s="1"/>
  <c r="N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N77" i="15"/>
  <c r="N75" i="15" s="1"/>
  <c r="Q77" i="15"/>
  <c r="R77" i="15"/>
  <c r="R75" i="15" s="1"/>
  <c r="S77" i="15"/>
  <c r="S75" i="15" s="1"/>
  <c r="O79" i="15"/>
  <c r="P79" i="15"/>
  <c r="T79" i="15"/>
  <c r="U79" i="15"/>
  <c r="L80" i="15"/>
  <c r="L78" i="15" s="1"/>
  <c r="O78" i="15" s="1"/>
  <c r="M80" i="15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P95" i="15"/>
  <c r="Q95" i="15"/>
  <c r="T95" i="15" s="1"/>
  <c r="R95" i="15"/>
  <c r="S95" i="15"/>
  <c r="O98" i="15"/>
  <c r="P98" i="15"/>
  <c r="T98" i="15"/>
  <c r="U98" i="15"/>
  <c r="L99" i="15"/>
  <c r="L97" i="15" s="1"/>
  <c r="M99" i="15"/>
  <c r="M97" i="15" s="1"/>
  <c r="N99" i="15"/>
  <c r="Q99" i="15"/>
  <c r="Q97" i="15" s="1"/>
  <c r="R99" i="15"/>
  <c r="R97" i="15" s="1"/>
  <c r="S99" i="15"/>
  <c r="Q100" i="15"/>
  <c r="R100" i="15"/>
  <c r="U100" i="15" s="1"/>
  <c r="S100" i="15"/>
  <c r="T100" i="15"/>
  <c r="O101" i="15"/>
  <c r="P101" i="15"/>
  <c r="T101" i="15"/>
  <c r="U101" i="15"/>
  <c r="L102" i="15"/>
  <c r="M102" i="15"/>
  <c r="M100" i="15" s="1"/>
  <c r="P100" i="15" s="1"/>
  <c r="N102" i="15"/>
  <c r="N100" i="15" s="1"/>
  <c r="T102" i="15"/>
  <c r="U102" i="15"/>
  <c r="I108" i="15"/>
  <c r="K108" i="15" s="1"/>
  <c r="I109" i="15"/>
  <c r="I93" i="15" s="1"/>
  <c r="K93" i="15" s="1"/>
  <c r="I113" i="15"/>
  <c r="K113" i="15" s="1"/>
  <c r="I114" i="15"/>
  <c r="K114" i="15" s="1"/>
  <c r="J116" i="15"/>
  <c r="L118" i="15"/>
  <c r="M118" i="15"/>
  <c r="P118" i="15" s="1"/>
  <c r="N118" i="15"/>
  <c r="Q118" i="15"/>
  <c r="R118" i="15"/>
  <c r="S118" i="15"/>
  <c r="T118" i="15"/>
  <c r="O121" i="15"/>
  <c r="P121" i="15"/>
  <c r="T121" i="15"/>
  <c r="U121" i="15"/>
  <c r="L122" i="15"/>
  <c r="M122" i="15"/>
  <c r="P122" i="15" s="1"/>
  <c r="N122" i="15"/>
  <c r="Q122" i="15"/>
  <c r="R122" i="15"/>
  <c r="S122" i="15"/>
  <c r="O124" i="15"/>
  <c r="P124" i="15"/>
  <c r="T124" i="15"/>
  <c r="U124" i="15"/>
  <c r="L125" i="15"/>
  <c r="M125" i="15"/>
  <c r="N125" i="15"/>
  <c r="N123" i="15" s="1"/>
  <c r="Q125" i="15"/>
  <c r="Q123" i="15" s="1"/>
  <c r="T123" i="15" s="1"/>
  <c r="R125" i="15"/>
  <c r="S125" i="15"/>
  <c r="S123" i="15" s="1"/>
  <c r="I127" i="15"/>
  <c r="I116" i="15" s="1"/>
  <c r="K116" i="15" s="1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N140" i="15"/>
  <c r="Q140" i="15"/>
  <c r="T140" i="15" s="1"/>
  <c r="R140" i="15"/>
  <c r="S140" i="15"/>
  <c r="U140" i="15"/>
  <c r="O143" i="15"/>
  <c r="P143" i="15"/>
  <c r="T143" i="15"/>
  <c r="U143" i="15"/>
  <c r="L144" i="15"/>
  <c r="O144" i="15" s="1"/>
  <c r="M144" i="15"/>
  <c r="N144" i="15"/>
  <c r="Q144" i="15"/>
  <c r="T144" i="15" s="1"/>
  <c r="R144" i="15"/>
  <c r="R142" i="15" s="1"/>
  <c r="U142" i="15" s="1"/>
  <c r="S144" i="15"/>
  <c r="S142" i="15" s="1"/>
  <c r="O146" i="15"/>
  <c r="P146" i="15"/>
  <c r="T146" i="15"/>
  <c r="U146" i="15"/>
  <c r="L147" i="15"/>
  <c r="O147" i="15" s="1"/>
  <c r="M147" i="15"/>
  <c r="N147" i="15"/>
  <c r="N145" i="15" s="1"/>
  <c r="Q147" i="15"/>
  <c r="T147" i="15" s="1"/>
  <c r="R147" i="15"/>
  <c r="R145" i="15" s="1"/>
  <c r="U145" i="15" s="1"/>
  <c r="S147" i="15"/>
  <c r="I150" i="15"/>
  <c r="K150" i="15" s="1"/>
  <c r="I151" i="15"/>
  <c r="K151" i="15" s="1"/>
  <c r="I152" i="15"/>
  <c r="K152" i="15" s="1"/>
  <c r="I153" i="15"/>
  <c r="I138" i="15" s="1"/>
  <c r="K138" i="15" s="1"/>
  <c r="I154" i="15"/>
  <c r="I136" i="15" s="1"/>
  <c r="K136" i="15" s="1"/>
  <c r="J156" i="15"/>
  <c r="L158" i="15"/>
  <c r="M158" i="15"/>
  <c r="P158" i="15" s="1"/>
  <c r="N158" i="15"/>
  <c r="Q158" i="15"/>
  <c r="R158" i="15"/>
  <c r="S158" i="15"/>
  <c r="T158" i="15"/>
  <c r="O161" i="15"/>
  <c r="P161" i="15"/>
  <c r="T161" i="15"/>
  <c r="U161" i="15"/>
  <c r="L162" i="15"/>
  <c r="M162" i="15"/>
  <c r="N162" i="15"/>
  <c r="Q162" i="15"/>
  <c r="Q159" i="15" s="1"/>
  <c r="T159" i="15" s="1"/>
  <c r="R162" i="15"/>
  <c r="S162" i="15"/>
  <c r="S159" i="15" s="1"/>
  <c r="Q163" i="15"/>
  <c r="R163" i="15"/>
  <c r="U163" i="15" s="1"/>
  <c r="S163" i="15"/>
  <c r="T163" i="15"/>
  <c r="O164" i="15"/>
  <c r="P164" i="15"/>
  <c r="T164" i="15"/>
  <c r="U164" i="15"/>
  <c r="L165" i="15"/>
  <c r="M165" i="15"/>
  <c r="N165" i="15"/>
  <c r="T165" i="15"/>
  <c r="U165" i="15"/>
  <c r="I167" i="15"/>
  <c r="K167" i="15" s="1"/>
  <c r="J172" i="15"/>
  <c r="L174" i="15"/>
  <c r="O174" i="15" s="1"/>
  <c r="M174" i="15"/>
  <c r="N174" i="15"/>
  <c r="Q174" i="15"/>
  <c r="T174" i="15" s="1"/>
  <c r="R174" i="15"/>
  <c r="U174" i="15" s="1"/>
  <c r="S174" i="15"/>
  <c r="O177" i="15"/>
  <c r="P177" i="15"/>
  <c r="T177" i="15"/>
  <c r="U177" i="15"/>
  <c r="L178" i="15"/>
  <c r="L176" i="15" s="1"/>
  <c r="M178" i="15"/>
  <c r="N178" i="15"/>
  <c r="Q178" i="15"/>
  <c r="R178" i="15"/>
  <c r="R175" i="15" s="1"/>
  <c r="S178" i="15"/>
  <c r="S175" i="15" s="1"/>
  <c r="Q179" i="15"/>
  <c r="T179" i="15" s="1"/>
  <c r="R179" i="15"/>
  <c r="U179" i="15" s="1"/>
  <c r="S179" i="15"/>
  <c r="O180" i="15"/>
  <c r="P180" i="15"/>
  <c r="T180" i="15"/>
  <c r="U180" i="15"/>
  <c r="L181" i="15"/>
  <c r="M181" i="15"/>
  <c r="M179" i="15" s="1"/>
  <c r="P179" i="15" s="1"/>
  <c r="N181" i="15"/>
  <c r="N179" i="15" s="1"/>
  <c r="T181" i="15"/>
  <c r="U181" i="15"/>
  <c r="I183" i="15"/>
  <c r="I172" i="15" s="1"/>
  <c r="K172" i="15" s="1"/>
  <c r="K184" i="15"/>
  <c r="L187" i="15"/>
  <c r="O187" i="15" s="1"/>
  <c r="M187" i="15"/>
  <c r="N187" i="15"/>
  <c r="Q187" i="15"/>
  <c r="R187" i="15"/>
  <c r="S187" i="15"/>
  <c r="O190" i="15"/>
  <c r="P190" i="15"/>
  <c r="T190" i="15"/>
  <c r="U190" i="15"/>
  <c r="L191" i="15"/>
  <c r="L189" i="15" s="1"/>
  <c r="M191" i="15"/>
  <c r="N191" i="15"/>
  <c r="N189" i="15" s="1"/>
  <c r="Q191" i="15"/>
  <c r="Q189" i="15" s="1"/>
  <c r="R191" i="15"/>
  <c r="R189" i="15" s="1"/>
  <c r="S191" i="15"/>
  <c r="S189" i="15" s="1"/>
  <c r="O193" i="15"/>
  <c r="P193" i="15"/>
  <c r="T193" i="15"/>
  <c r="U193" i="15"/>
  <c r="L194" i="15"/>
  <c r="O194" i="15" s="1"/>
  <c r="M194" i="15"/>
  <c r="N194" i="15"/>
  <c r="N192" i="15" s="1"/>
  <c r="Q194" i="15"/>
  <c r="Q192" i="15" s="1"/>
  <c r="T192" i="15" s="1"/>
  <c r="R194" i="15"/>
  <c r="S194" i="15"/>
  <c r="S192" i="15" s="1"/>
  <c r="J195" i="15"/>
  <c r="L196" i="15"/>
  <c r="O196" i="15" s="1"/>
  <c r="P196" i="15"/>
  <c r="I198" i="15"/>
  <c r="I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K209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N233" i="15"/>
  <c r="N234" i="15"/>
  <c r="N235" i="15"/>
  <c r="N236" i="15"/>
  <c r="J238" i="15"/>
  <c r="J240" i="15"/>
  <c r="J241" i="15"/>
  <c r="J242" i="15"/>
  <c r="J231" i="15" s="1"/>
  <c r="J185" i="15" s="1"/>
  <c r="N243" i="15"/>
  <c r="P243" i="15"/>
  <c r="L244" i="15"/>
  <c r="L245" i="15"/>
  <c r="L246" i="15"/>
  <c r="L247" i="15"/>
  <c r="I249" i="15"/>
  <c r="K249" i="15" s="1"/>
  <c r="I251" i="15"/>
  <c r="I240" i="15" s="1"/>
  <c r="K240" i="15" s="1"/>
  <c r="I252" i="15"/>
  <c r="I241" i="15" s="1"/>
  <c r="K241" i="15" s="1"/>
  <c r="J253" i="15"/>
  <c r="N254" i="15"/>
  <c r="N232" i="15" s="1"/>
  <c r="P254" i="15"/>
  <c r="L255" i="15"/>
  <c r="L256" i="15"/>
  <c r="L257" i="15"/>
  <c r="L258" i="15"/>
  <c r="I260" i="15"/>
  <c r="I253" i="15" s="1"/>
  <c r="K253" i="15" s="1"/>
  <c r="K262" i="15"/>
  <c r="K263" i="15"/>
  <c r="J265" i="15"/>
  <c r="L267" i="15"/>
  <c r="M267" i="15"/>
  <c r="P267" i="15" s="1"/>
  <c r="N267" i="15"/>
  <c r="Q267" i="15"/>
  <c r="R267" i="15"/>
  <c r="S267" i="15"/>
  <c r="T267" i="15"/>
  <c r="O270" i="15"/>
  <c r="P270" i="15"/>
  <c r="T270" i="15"/>
  <c r="U270" i="15"/>
  <c r="L271" i="15"/>
  <c r="M271" i="15"/>
  <c r="N271" i="15"/>
  <c r="N269" i="15" s="1"/>
  <c r="Q271" i="15"/>
  <c r="R271" i="15"/>
  <c r="R268" i="15" s="1"/>
  <c r="S271" i="15"/>
  <c r="Q272" i="15"/>
  <c r="T272" i="15" s="1"/>
  <c r="R272" i="15"/>
  <c r="U272" i="15" s="1"/>
  <c r="S272" i="15"/>
  <c r="O273" i="15"/>
  <c r="P273" i="15"/>
  <c r="T273" i="15"/>
  <c r="U273" i="15"/>
  <c r="L274" i="15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S282" i="15"/>
  <c r="L283" i="15"/>
  <c r="O283" i="15" s="1"/>
  <c r="M283" i="15"/>
  <c r="P283" i="15" s="1"/>
  <c r="N283" i="15"/>
  <c r="Q283" i="15"/>
  <c r="T283" i="15" s="1"/>
  <c r="R283" i="15"/>
  <c r="S283" i="15"/>
  <c r="Q284" i="15"/>
  <c r="R284" i="15"/>
  <c r="U284" i="15" s="1"/>
  <c r="S284" i="15"/>
  <c r="Q285" i="15"/>
  <c r="T285" i="15" s="1"/>
  <c r="R285" i="15"/>
  <c r="U285" i="15" s="1"/>
  <c r="S285" i="15"/>
  <c r="O286" i="15"/>
  <c r="P286" i="15"/>
  <c r="T286" i="15"/>
  <c r="U286" i="15"/>
  <c r="L287" i="15"/>
  <c r="L285" i="15" s="1"/>
  <c r="M287" i="15"/>
  <c r="M285" i="15" s="1"/>
  <c r="N287" i="15"/>
  <c r="N285" i="15" s="1"/>
  <c r="T287" i="15"/>
  <c r="U287" i="15"/>
  <c r="Q288" i="15"/>
  <c r="T288" i="15" s="1"/>
  <c r="R288" i="15"/>
  <c r="S288" i="15"/>
  <c r="U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81" i="15" s="1"/>
  <c r="K281" i="15" s="1"/>
  <c r="I293" i="15"/>
  <c r="I280" i="15" s="1"/>
  <c r="J293" i="15"/>
  <c r="J280" i="15" s="1"/>
  <c r="I295" i="15"/>
  <c r="K295" i="15" s="1"/>
  <c r="I296" i="15"/>
  <c r="K296" i="15" s="1"/>
  <c r="I298" i="15"/>
  <c r="K298" i="15" s="1"/>
  <c r="I299" i="15"/>
  <c r="K299" i="15" s="1"/>
  <c r="J302" i="15"/>
  <c r="L304" i="15"/>
  <c r="M304" i="15"/>
  <c r="P304" i="15" s="1"/>
  <c r="N304" i="15"/>
  <c r="Q304" i="15"/>
  <c r="T304" i="15" s="1"/>
  <c r="R304" i="15"/>
  <c r="U304" i="15" s="1"/>
  <c r="S304" i="15"/>
  <c r="O307" i="15"/>
  <c r="P307" i="15"/>
  <c r="T307" i="15"/>
  <c r="U307" i="15"/>
  <c r="L308" i="15"/>
  <c r="O308" i="15" s="1"/>
  <c r="M308" i="15"/>
  <c r="M306" i="15" s="1"/>
  <c r="P306" i="15" s="1"/>
  <c r="N308" i="15"/>
  <c r="Q308" i="15"/>
  <c r="Q306" i="15" s="1"/>
  <c r="R308" i="15"/>
  <c r="S308" i="15"/>
  <c r="S305" i="15" s="1"/>
  <c r="S303" i="15" s="1"/>
  <c r="Q309" i="15"/>
  <c r="T309" i="15" s="1"/>
  <c r="R309" i="15"/>
  <c r="S309" i="15"/>
  <c r="U309" i="15"/>
  <c r="O310" i="15"/>
  <c r="P310" i="15"/>
  <c r="T310" i="15"/>
  <c r="U310" i="15"/>
  <c r="L311" i="15"/>
  <c r="O311" i="15" s="1"/>
  <c r="M311" i="15"/>
  <c r="P311" i="15" s="1"/>
  <c r="N311" i="15"/>
  <c r="N309" i="15" s="1"/>
  <c r="T311" i="15"/>
  <c r="U311" i="15"/>
  <c r="I314" i="15"/>
  <c r="K314" i="15" s="1"/>
  <c r="J319" i="15"/>
  <c r="Q320" i="15"/>
  <c r="T320" i="15" s="1"/>
  <c r="L321" i="15"/>
  <c r="M321" i="15"/>
  <c r="P321" i="15" s="1"/>
  <c r="N321" i="15"/>
  <c r="O321" i="15"/>
  <c r="Q321" i="15"/>
  <c r="T321" i="15" s="1"/>
  <c r="R321" i="15"/>
  <c r="R320" i="15" s="1"/>
  <c r="U320" i="15" s="1"/>
  <c r="S321" i="15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L323" i="15" s="1"/>
  <c r="O323" i="15" s="1"/>
  <c r="M325" i="15"/>
  <c r="P325" i="15" s="1"/>
  <c r="N325" i="15"/>
  <c r="N323" i="15" s="1"/>
  <c r="T325" i="15"/>
  <c r="U325" i="15"/>
  <c r="Q326" i="15"/>
  <c r="R326" i="15"/>
  <c r="U326" i="15" s="1"/>
  <c r="S326" i="15"/>
  <c r="T326" i="15"/>
  <c r="O327" i="15"/>
  <c r="P327" i="15"/>
  <c r="T327" i="15"/>
  <c r="U327" i="15"/>
  <c r="L328" i="15"/>
  <c r="M328" i="15"/>
  <c r="P328" i="15" s="1"/>
  <c r="N328" i="15"/>
  <c r="N326" i="15" s="1"/>
  <c r="T328" i="15"/>
  <c r="U328" i="15"/>
  <c r="I330" i="15"/>
  <c r="I332" i="15"/>
  <c r="U333" i="15"/>
  <c r="L334" i="15"/>
  <c r="M334" i="15"/>
  <c r="N334" i="15"/>
  <c r="O334" i="15"/>
  <c r="P334" i="15"/>
  <c r="Q334" i="15"/>
  <c r="R334" i="15"/>
  <c r="S334" i="15"/>
  <c r="U334" i="15"/>
  <c r="Q335" i="15"/>
  <c r="T335" i="15" s="1"/>
  <c r="R335" i="15"/>
  <c r="R333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M336" i="15" s="1"/>
  <c r="N338" i="15"/>
  <c r="N336" i="15" s="1"/>
  <c r="T338" i="15"/>
  <c r="U338" i="15"/>
  <c r="Q339" i="15"/>
  <c r="R339" i="15"/>
  <c r="S339" i="15"/>
  <c r="T339" i="15"/>
  <c r="U339" i="15"/>
  <c r="O340" i="15"/>
  <c r="P340" i="15"/>
  <c r="T340" i="15"/>
  <c r="U340" i="15"/>
  <c r="L341" i="15"/>
  <c r="M341" i="15"/>
  <c r="N341" i="15"/>
  <c r="N339" i="15" s="1"/>
  <c r="T341" i="15"/>
  <c r="U341" i="15"/>
  <c r="J344" i="15"/>
  <c r="K344" i="15"/>
  <c r="I346" i="15"/>
  <c r="J346" i="15"/>
  <c r="J347" i="15"/>
  <c r="J348" i="15"/>
  <c r="J349" i="15"/>
  <c r="D350" i="15"/>
  <c r="J352" i="15"/>
  <c r="J353" i="15"/>
  <c r="J354" i="15"/>
  <c r="L357" i="15"/>
  <c r="O357" i="15" s="1"/>
  <c r="M357" i="15"/>
  <c r="P357" i="15" s="1"/>
  <c r="N357" i="15"/>
  <c r="Q357" i="15"/>
  <c r="T357" i="15" s="1"/>
  <c r="R357" i="15"/>
  <c r="S357" i="15"/>
  <c r="Q358" i="15"/>
  <c r="T358" i="15" s="1"/>
  <c r="R358" i="15"/>
  <c r="U358" i="15" s="1"/>
  <c r="S358" i="15"/>
  <c r="Q359" i="15"/>
  <c r="T359" i="15" s="1"/>
  <c r="R359" i="15"/>
  <c r="U359" i="15" s="1"/>
  <c r="S359" i="15"/>
  <c r="O360" i="15"/>
  <c r="P360" i="15"/>
  <c r="T360" i="15"/>
  <c r="U360" i="15"/>
  <c r="L361" i="15"/>
  <c r="L359" i="15" s="1"/>
  <c r="M361" i="15"/>
  <c r="M359" i="15" s="1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O376" i="15" s="1"/>
  <c r="M376" i="15"/>
  <c r="N376" i="15"/>
  <c r="Q376" i="15"/>
  <c r="R376" i="15"/>
  <c r="U376" i="15" s="1"/>
  <c r="S376" i="15"/>
  <c r="T376" i="15"/>
  <c r="O379" i="15"/>
  <c r="P379" i="15"/>
  <c r="T379" i="15"/>
  <c r="U379" i="15"/>
  <c r="L380" i="15"/>
  <c r="O380" i="15" s="1"/>
  <c r="M380" i="15"/>
  <c r="P380" i="15" s="1"/>
  <c r="N380" i="15"/>
  <c r="Q380" i="15"/>
  <c r="R380" i="15"/>
  <c r="S380" i="15"/>
  <c r="S378" i="15" s="1"/>
  <c r="Q381" i="15"/>
  <c r="R381" i="15"/>
  <c r="U381" i="15" s="1"/>
  <c r="S381" i="15"/>
  <c r="T381" i="15"/>
  <c r="O382" i="15"/>
  <c r="P382" i="15"/>
  <c r="T382" i="15"/>
  <c r="U382" i="15"/>
  <c r="L383" i="15"/>
  <c r="L381" i="15" s="1"/>
  <c r="O381" i="15" s="1"/>
  <c r="M383" i="15"/>
  <c r="P383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O393" i="15" s="1"/>
  <c r="M393" i="15"/>
  <c r="P393" i="15" s="1"/>
  <c r="N393" i="15"/>
  <c r="N392" i="15" s="1"/>
  <c r="Q393" i="15"/>
  <c r="R393" i="15"/>
  <c r="U393" i="15" s="1"/>
  <c r="S393" i="15"/>
  <c r="T393" i="15"/>
  <c r="L394" i="15"/>
  <c r="M394" i="15"/>
  <c r="P394" i="15" s="1"/>
  <c r="N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R397" i="15"/>
  <c r="R394" i="15" s="1"/>
  <c r="S397" i="15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P414" i="15" s="1"/>
  <c r="N414" i="15"/>
  <c r="Q414" i="15"/>
  <c r="R414" i="15"/>
  <c r="U414" i="15" s="1"/>
  <c r="S414" i="15"/>
  <c r="O417" i="15"/>
  <c r="P417" i="15"/>
  <c r="T417" i="15"/>
  <c r="U417" i="15"/>
  <c r="L418" i="15"/>
  <c r="L416" i="15" s="1"/>
  <c r="M418" i="15"/>
  <c r="N418" i="15"/>
  <c r="Q418" i="15"/>
  <c r="Q415" i="15" s="1"/>
  <c r="R418" i="15"/>
  <c r="R416" i="15" s="1"/>
  <c r="S418" i="15"/>
  <c r="S416" i="15" s="1"/>
  <c r="Q419" i="15"/>
  <c r="T419" i="15" s="1"/>
  <c r="R419" i="15"/>
  <c r="S419" i="15"/>
  <c r="U419" i="15"/>
  <c r="O420" i="15"/>
  <c r="P420" i="15"/>
  <c r="T420" i="15"/>
  <c r="U420" i="15"/>
  <c r="L421" i="15"/>
  <c r="O421" i="15" s="1"/>
  <c r="M421" i="15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J432" i="15"/>
  <c r="I433" i="15"/>
  <c r="J433" i="15"/>
  <c r="I440" i="15"/>
  <c r="I423" i="15" s="1"/>
  <c r="I441" i="15"/>
  <c r="J441" i="15"/>
  <c r="J446" i="15"/>
  <c r="J440" i="15" s="1"/>
  <c r="J423" i="15" s="1"/>
  <c r="J412" i="15" s="1"/>
  <c r="J447" i="15"/>
  <c r="I457" i="15"/>
  <c r="I456" i="15" s="1"/>
  <c r="I458" i="15"/>
  <c r="J458" i="15"/>
  <c r="J459" i="15"/>
  <c r="J457" i="15" s="1"/>
  <c r="J456" i="15" s="1"/>
  <c r="J460" i="15"/>
  <c r="J467" i="15"/>
  <c r="J468" i="15"/>
  <c r="J475" i="15"/>
  <c r="K475" i="15"/>
  <c r="J476" i="15"/>
  <c r="K476" i="15"/>
  <c r="J477" i="15"/>
  <c r="K477" i="15"/>
  <c r="I484" i="15"/>
  <c r="K484" i="15" s="1"/>
  <c r="J484" i="15"/>
  <c r="I485" i="15"/>
  <c r="K485" i="15" s="1"/>
  <c r="J485" i="15"/>
  <c r="L494" i="15"/>
  <c r="O494" i="15" s="1"/>
  <c r="M494" i="15"/>
  <c r="N494" i="15"/>
  <c r="Q494" i="15"/>
  <c r="R494" i="15"/>
  <c r="U494" i="15" s="1"/>
  <c r="S494" i="15"/>
  <c r="T494" i="15"/>
  <c r="O497" i="15"/>
  <c r="P497" i="15"/>
  <c r="T497" i="15"/>
  <c r="U497" i="15"/>
  <c r="L498" i="15"/>
  <c r="O498" i="15" s="1"/>
  <c r="M498" i="15"/>
  <c r="M496" i="15" s="1"/>
  <c r="P496" i="15" s="1"/>
  <c r="N498" i="15"/>
  <c r="N496" i="15" s="1"/>
  <c r="Q498" i="15"/>
  <c r="T498" i="15" s="1"/>
  <c r="R498" i="15"/>
  <c r="R495" i="15" s="1"/>
  <c r="S498" i="15"/>
  <c r="S495" i="15" s="1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M499" i="15" s="1"/>
  <c r="P499" i="15" s="1"/>
  <c r="N501" i="15"/>
  <c r="N499" i="15" s="1"/>
  <c r="T501" i="15"/>
  <c r="U501" i="15"/>
  <c r="I503" i="15"/>
  <c r="I492" i="15" s="1"/>
  <c r="K492" i="15" s="1"/>
  <c r="I504" i="15"/>
  <c r="I505" i="15"/>
  <c r="K505" i="15" s="1"/>
  <c r="I506" i="15"/>
  <c r="K506" i="15" s="1"/>
  <c r="I507" i="15"/>
  <c r="K507" i="15" s="1"/>
  <c r="K508" i="15"/>
  <c r="I509" i="15"/>
  <c r="K509" i="15" s="1"/>
  <c r="I512" i="15"/>
  <c r="J512" i="15"/>
  <c r="K512" i="15"/>
  <c r="L514" i="15"/>
  <c r="M514" i="15"/>
  <c r="N514" i="15"/>
  <c r="Q514" i="15"/>
  <c r="T514" i="15" s="1"/>
  <c r="R514" i="15"/>
  <c r="S514" i="15"/>
  <c r="Q515" i="15"/>
  <c r="R515" i="15"/>
  <c r="S515" i="15"/>
  <c r="T515" i="15"/>
  <c r="U515" i="15"/>
  <c r="Q516" i="15"/>
  <c r="T516" i="15" s="1"/>
  <c r="R516" i="15"/>
  <c r="U516" i="15" s="1"/>
  <c r="S516" i="15"/>
  <c r="O517" i="15"/>
  <c r="P517" i="15"/>
  <c r="T517" i="15"/>
  <c r="U517" i="15"/>
  <c r="L518" i="15"/>
  <c r="M518" i="15"/>
  <c r="N518" i="15"/>
  <c r="N516" i="15" s="1"/>
  <c r="T518" i="15"/>
  <c r="U518" i="15"/>
  <c r="Q519" i="15"/>
  <c r="R519" i="15"/>
  <c r="U519" i="15" s="1"/>
  <c r="S519" i="15"/>
  <c r="T519" i="15"/>
  <c r="O520" i="15"/>
  <c r="P520" i="15"/>
  <c r="T520" i="15"/>
  <c r="U520" i="15"/>
  <c r="L521" i="15"/>
  <c r="O521" i="15" s="1"/>
  <c r="M521" i="15"/>
  <c r="N521" i="15"/>
  <c r="N519" i="15" s="1"/>
  <c r="T521" i="15"/>
  <c r="U521" i="15"/>
  <c r="K523" i="15"/>
  <c r="K524" i="15"/>
  <c r="I533" i="15"/>
  <c r="K533" i="15" s="1"/>
  <c r="J533" i="15"/>
  <c r="R534" i="15"/>
  <c r="U534" i="15" s="1"/>
  <c r="L535" i="15"/>
  <c r="O535" i="15" s="1"/>
  <c r="M535" i="15"/>
  <c r="N535" i="15"/>
  <c r="Q535" i="15"/>
  <c r="Q534" i="15" s="1"/>
  <c r="T534" i="15" s="1"/>
  <c r="R535" i="15"/>
  <c r="U535" i="15" s="1"/>
  <c r="S535" i="15"/>
  <c r="S534" i="15" s="1"/>
  <c r="T535" i="15"/>
  <c r="Q536" i="15"/>
  <c r="R536" i="15"/>
  <c r="S536" i="15"/>
  <c r="T536" i="15"/>
  <c r="U536" i="15"/>
  <c r="Q537" i="15"/>
  <c r="T537" i="15" s="1"/>
  <c r="R537" i="15"/>
  <c r="U537" i="15" s="1"/>
  <c r="S537" i="15"/>
  <c r="O538" i="15"/>
  <c r="P538" i="15"/>
  <c r="T538" i="15"/>
  <c r="U538" i="15"/>
  <c r="L539" i="15"/>
  <c r="M539" i="15"/>
  <c r="N539" i="15"/>
  <c r="N537" i="15" s="1"/>
  <c r="T539" i="15"/>
  <c r="U539" i="15"/>
  <c r="Q540" i="15"/>
  <c r="T540" i="15" s="1"/>
  <c r="R540" i="15"/>
  <c r="S540" i="15"/>
  <c r="U540" i="15"/>
  <c r="O541" i="15"/>
  <c r="P541" i="15"/>
  <c r="T541" i="15"/>
  <c r="U541" i="15"/>
  <c r="L542" i="15"/>
  <c r="M542" i="15"/>
  <c r="P542" i="15" s="1"/>
  <c r="N542" i="15"/>
  <c r="N540" i="15" s="1"/>
  <c r="T542" i="15"/>
  <c r="U542" i="15"/>
  <c r="I554" i="15"/>
  <c r="K554" i="15" s="1"/>
  <c r="J554" i="15"/>
  <c r="L556" i="15"/>
  <c r="O556" i="15" s="1"/>
  <c r="M556" i="15"/>
  <c r="P556" i="15" s="1"/>
  <c r="N556" i="15"/>
  <c r="Q556" i="15"/>
  <c r="R556" i="15"/>
  <c r="U556" i="15" s="1"/>
  <c r="S556" i="15"/>
  <c r="Q557" i="15"/>
  <c r="T557" i="15" s="1"/>
  <c r="R557" i="15"/>
  <c r="U557" i="15" s="1"/>
  <c r="S557" i="15"/>
  <c r="Q558" i="15"/>
  <c r="R558" i="15"/>
  <c r="S558" i="15"/>
  <c r="T558" i="15"/>
  <c r="U558" i="15"/>
  <c r="O559" i="15"/>
  <c r="P559" i="15"/>
  <c r="T559" i="15"/>
  <c r="U559" i="15"/>
  <c r="L560" i="15"/>
  <c r="M560" i="15"/>
  <c r="P560" i="15" s="1"/>
  <c r="N560" i="15"/>
  <c r="N558" i="15" s="1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M561" i="15" s="1"/>
  <c r="P561" i="15" s="1"/>
  <c r="N563" i="15"/>
  <c r="N561" i="15" s="1"/>
  <c r="T563" i="15"/>
  <c r="U563" i="15"/>
  <c r="I575" i="15"/>
  <c r="K575" i="15" s="1"/>
  <c r="J575" i="15"/>
  <c r="R576" i="15"/>
  <c r="U576" i="15" s="1"/>
  <c r="L577" i="15"/>
  <c r="O577" i="15" s="1"/>
  <c r="M577" i="15"/>
  <c r="N577" i="15"/>
  <c r="Q577" i="15"/>
  <c r="R577" i="15"/>
  <c r="U577" i="15" s="1"/>
  <c r="S577" i="15"/>
  <c r="S576" i="15" s="1"/>
  <c r="T577" i="15"/>
  <c r="Q578" i="15"/>
  <c r="Q576" i="15" s="1"/>
  <c r="T576" i="15" s="1"/>
  <c r="R578" i="15"/>
  <c r="S578" i="15"/>
  <c r="T578" i="15"/>
  <c r="U578" i="15"/>
  <c r="Q579" i="15"/>
  <c r="T579" i="15" s="1"/>
  <c r="R579" i="15"/>
  <c r="U579" i="15" s="1"/>
  <c r="S579" i="15"/>
  <c r="O580" i="15"/>
  <c r="P580" i="15"/>
  <c r="T580" i="15"/>
  <c r="U580" i="15"/>
  <c r="L581" i="15"/>
  <c r="M581" i="15"/>
  <c r="N581" i="15"/>
  <c r="N579" i="15" s="1"/>
  <c r="T581" i="15"/>
  <c r="U581" i="15"/>
  <c r="Q582" i="15"/>
  <c r="R582" i="15"/>
  <c r="S582" i="15"/>
  <c r="T582" i="15"/>
  <c r="U582" i="15"/>
  <c r="O583" i="15"/>
  <c r="P583" i="15"/>
  <c r="T583" i="15"/>
  <c r="U583" i="15"/>
  <c r="L584" i="15"/>
  <c r="M584" i="15"/>
  <c r="P584" i="15" s="1"/>
  <c r="N584" i="15"/>
  <c r="N582" i="15" s="1"/>
  <c r="T584" i="15"/>
  <c r="U584" i="15"/>
  <c r="L600" i="15"/>
  <c r="M600" i="15"/>
  <c r="P600" i="15" s="1"/>
  <c r="N600" i="15"/>
  <c r="Q600" i="15"/>
  <c r="T600" i="15" s="1"/>
  <c r="R600" i="15"/>
  <c r="S600" i="15"/>
  <c r="O603" i="15"/>
  <c r="P603" i="15"/>
  <c r="T603" i="15"/>
  <c r="U603" i="15"/>
  <c r="L604" i="15"/>
  <c r="L602" i="15" s="1"/>
  <c r="M604" i="15"/>
  <c r="M602" i="15" s="1"/>
  <c r="N604" i="15"/>
  <c r="N602" i="15" s="1"/>
  <c r="Q604" i="15"/>
  <c r="R604" i="15"/>
  <c r="R602" i="15" s="1"/>
  <c r="U602" i="15" s="1"/>
  <c r="S604" i="15"/>
  <c r="S602" i="15" s="1"/>
  <c r="O606" i="15"/>
  <c r="P606" i="15"/>
  <c r="T606" i="15"/>
  <c r="U606" i="15"/>
  <c r="L607" i="15"/>
  <c r="O607" i="15" s="1"/>
  <c r="M607" i="15"/>
  <c r="P607" i="15" s="1"/>
  <c r="N607" i="15"/>
  <c r="N605" i="15" s="1"/>
  <c r="Q607" i="15"/>
  <c r="Q605" i="15" s="1"/>
  <c r="T605" i="15" s="1"/>
  <c r="R607" i="15"/>
  <c r="U607" i="15" s="1"/>
  <c r="S607" i="15"/>
  <c r="S605" i="15" s="1"/>
  <c r="L617" i="15"/>
  <c r="L616" i="15" s="1"/>
  <c r="O616" i="15" s="1"/>
  <c r="M617" i="15"/>
  <c r="N617" i="15"/>
  <c r="N616" i="15" s="1"/>
  <c r="O617" i="15"/>
  <c r="Q617" i="15"/>
  <c r="R617" i="15"/>
  <c r="S617" i="15"/>
  <c r="T617" i="15"/>
  <c r="U617" i="15"/>
  <c r="L618" i="15"/>
  <c r="O618" i="15" s="1"/>
  <c r="M618" i="15"/>
  <c r="N618" i="15"/>
  <c r="P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9" i="15" s="1"/>
  <c r="R621" i="15"/>
  <c r="S621" i="15"/>
  <c r="S619" i="15" s="1"/>
  <c r="L622" i="15"/>
  <c r="M622" i="15"/>
  <c r="N622" i="15"/>
  <c r="O622" i="15"/>
  <c r="P622" i="15"/>
  <c r="Q622" i="15"/>
  <c r="T622" i="15" s="1"/>
  <c r="R622" i="15"/>
  <c r="S622" i="15"/>
  <c r="U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I635" i="15"/>
  <c r="K635" i="15" s="1"/>
  <c r="J636" i="15"/>
  <c r="J635" i="15" s="1"/>
  <c r="L643" i="15"/>
  <c r="L642" i="15" s="1"/>
  <c r="O642" i="15" s="1"/>
  <c r="M643" i="15"/>
  <c r="N643" i="15"/>
  <c r="N642" i="15" s="1"/>
  <c r="Q643" i="15"/>
  <c r="R643" i="15"/>
  <c r="S643" i="15"/>
  <c r="T643" i="15"/>
  <c r="L644" i="15"/>
  <c r="O644" i="15" s="1"/>
  <c r="M644" i="15"/>
  <c r="N644" i="15"/>
  <c r="P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R647" i="15"/>
  <c r="R645" i="15" s="1"/>
  <c r="S647" i="15"/>
  <c r="S645" i="15" s="1"/>
  <c r="L648" i="15"/>
  <c r="M648" i="15"/>
  <c r="P648" i="15" s="1"/>
  <c r="N648" i="15"/>
  <c r="O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J654" i="15"/>
  <c r="I657" i="15"/>
  <c r="I660" i="15"/>
  <c r="I661" i="15"/>
  <c r="K661" i="15" s="1"/>
  <c r="J661" i="15"/>
  <c r="J671" i="15"/>
  <c r="J672" i="15"/>
  <c r="I673" i="15"/>
  <c r="J673" i="15"/>
  <c r="I674" i="15"/>
  <c r="I675" i="15"/>
  <c r="I676" i="15"/>
  <c r="J676" i="15"/>
  <c r="J677" i="15"/>
  <c r="I678" i="15"/>
  <c r="J678" i="15"/>
  <c r="I679" i="15"/>
  <c r="J679" i="15"/>
  <c r="J680" i="15"/>
  <c r="I681" i="15"/>
  <c r="J681" i="15"/>
  <c r="I682" i="15"/>
  <c r="K682" i="15" s="1"/>
  <c r="J682" i="15"/>
  <c r="L691" i="15"/>
  <c r="M691" i="15"/>
  <c r="M690" i="15" s="1"/>
  <c r="P690" i="15" s="1"/>
  <c r="N691" i="15"/>
  <c r="Q691" i="15"/>
  <c r="R691" i="15"/>
  <c r="S691" i="15"/>
  <c r="T691" i="15"/>
  <c r="L692" i="15"/>
  <c r="O692" i="15" s="1"/>
  <c r="M692" i="15"/>
  <c r="N692" i="15"/>
  <c r="P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2" i="15" s="1"/>
  <c r="R695" i="15"/>
  <c r="R693" i="15" s="1"/>
  <c r="S695" i="15"/>
  <c r="S693" i="15" s="1"/>
  <c r="L696" i="15"/>
  <c r="M696" i="15"/>
  <c r="P696" i="15" s="1"/>
  <c r="N696" i="15"/>
  <c r="O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K703" i="15" s="1"/>
  <c r="J703" i="15"/>
  <c r="J704" i="15"/>
  <c r="K704" i="15"/>
  <c r="I705" i="15"/>
  <c r="J705" i="15"/>
  <c r="J706" i="15"/>
  <c r="K706" i="15"/>
  <c r="I707" i="15"/>
  <c r="I689" i="15" s="1"/>
  <c r="K689" i="15" s="1"/>
  <c r="J707" i="15"/>
  <c r="J689" i="15" s="1"/>
  <c r="J708" i="15"/>
  <c r="K708" i="15"/>
  <c r="I709" i="15"/>
  <c r="J709" i="15"/>
  <c r="J710" i="15"/>
  <c r="K710" i="15"/>
  <c r="J712" i="15"/>
  <c r="K712" i="15"/>
  <c r="N714" i="15"/>
  <c r="L715" i="15"/>
  <c r="M715" i="15"/>
  <c r="M714" i="15" s="1"/>
  <c r="P714" i="15" s="1"/>
  <c r="N715" i="15"/>
  <c r="P715" i="15"/>
  <c r="Q715" i="15"/>
  <c r="R715" i="15"/>
  <c r="S715" i="15"/>
  <c r="L716" i="15"/>
  <c r="O716" i="15" s="1"/>
  <c r="M716" i="15"/>
  <c r="P716" i="15" s="1"/>
  <c r="N716" i="15"/>
  <c r="Q716" i="15"/>
  <c r="T716" i="15" s="1"/>
  <c r="R716" i="15"/>
  <c r="U716" i="15" s="1"/>
  <c r="S716" i="15"/>
  <c r="L717" i="15"/>
  <c r="M717" i="15"/>
  <c r="P717" i="15" s="1"/>
  <c r="N717" i="15"/>
  <c r="O717" i="15"/>
  <c r="Q717" i="15"/>
  <c r="R717" i="15"/>
  <c r="S717" i="15"/>
  <c r="T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R720" i="15"/>
  <c r="S720" i="15"/>
  <c r="T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L729" i="15"/>
  <c r="M729" i="15"/>
  <c r="N729" i="15"/>
  <c r="N728" i="15" s="1"/>
  <c r="P729" i="15"/>
  <c r="Q729" i="15"/>
  <c r="R729" i="15"/>
  <c r="S729" i="15"/>
  <c r="L730" i="15"/>
  <c r="O730" i="15" s="1"/>
  <c r="M730" i="15"/>
  <c r="P730" i="15" s="1"/>
  <c r="N730" i="15"/>
  <c r="L731" i="15"/>
  <c r="M731" i="15"/>
  <c r="P731" i="15" s="1"/>
  <c r="N731" i="15"/>
  <c r="O731" i="15"/>
  <c r="O732" i="15"/>
  <c r="P732" i="15"/>
  <c r="T732" i="15"/>
  <c r="U732" i="15"/>
  <c r="O733" i="15"/>
  <c r="P733" i="15"/>
  <c r="Q733" i="15"/>
  <c r="Q731" i="15" s="1"/>
  <c r="R733" i="15"/>
  <c r="R731" i="15" s="1"/>
  <c r="S733" i="15"/>
  <c r="S730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N761" i="15"/>
  <c r="Q761" i="15"/>
  <c r="R761" i="15"/>
  <c r="S761" i="15"/>
  <c r="L762" i="15"/>
  <c r="M762" i="15"/>
  <c r="P762" i="15" s="1"/>
  <c r="N762" i="15"/>
  <c r="O762" i="15"/>
  <c r="L763" i="15"/>
  <c r="M763" i="15"/>
  <c r="N763" i="15"/>
  <c r="O763" i="15"/>
  <c r="P763" i="15"/>
  <c r="O764" i="15"/>
  <c r="P764" i="15"/>
  <c r="T764" i="15"/>
  <c r="U764" i="15"/>
  <c r="O765" i="15"/>
  <c r="P765" i="15"/>
  <c r="Q765" i="15"/>
  <c r="Q763" i="15" s="1"/>
  <c r="R765" i="15"/>
  <c r="R763" i="15" s="1"/>
  <c r="S765" i="15"/>
  <c r="S763" i="15" s="1"/>
  <c r="L766" i="15"/>
  <c r="O766" i="15" s="1"/>
  <c r="M766" i="15"/>
  <c r="P766" i="15" s="1"/>
  <c r="N766" i="15"/>
  <c r="Q766" i="15"/>
  <c r="R766" i="15"/>
  <c r="U766" i="15" s="1"/>
  <c r="S766" i="15"/>
  <c r="T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M22" i="14"/>
  <c r="N22" i="14"/>
  <c r="O22" i="14"/>
  <c r="Q22" i="14"/>
  <c r="T22" i="14" s="1"/>
  <c r="R22" i="14"/>
  <c r="U22" i="14" s="1"/>
  <c r="S22" i="14"/>
  <c r="L25" i="14"/>
  <c r="M25" i="14"/>
  <c r="N25" i="14"/>
  <c r="O25" i="14"/>
  <c r="Q25" i="14"/>
  <c r="T25" i="14" s="1"/>
  <c r="R25" i="14"/>
  <c r="S25" i="14"/>
  <c r="R44" i="14"/>
  <c r="U44" i="14" s="1"/>
  <c r="L45" i="14"/>
  <c r="M45" i="14"/>
  <c r="N45" i="14"/>
  <c r="Q45" i="14"/>
  <c r="R45" i="14"/>
  <c r="U45" i="14" s="1"/>
  <c r="S45" i="14"/>
  <c r="S44" i="14" s="1"/>
  <c r="T45" i="14"/>
  <c r="Q46" i="14"/>
  <c r="R46" i="14"/>
  <c r="S46" i="14"/>
  <c r="T46" i="14"/>
  <c r="U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T61" i="14" s="1"/>
  <c r="R61" i="14"/>
  <c r="U61" i="14" s="1"/>
  <c r="S61" i="14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L65" i="14" s="1"/>
  <c r="M67" i="14"/>
  <c r="N67" i="14"/>
  <c r="N65" i="14" s="1"/>
  <c r="T67" i="14"/>
  <c r="U67" i="14"/>
  <c r="L73" i="14"/>
  <c r="O73" i="14" s="1"/>
  <c r="M73" i="14"/>
  <c r="P73" i="14" s="1"/>
  <c r="N73" i="14"/>
  <c r="Q73" i="14"/>
  <c r="R73" i="14"/>
  <c r="U73" i="14" s="1"/>
  <c r="S73" i="14"/>
  <c r="T73" i="14"/>
  <c r="O76" i="14"/>
  <c r="P76" i="14"/>
  <c r="T76" i="14"/>
  <c r="U76" i="14"/>
  <c r="L77" i="14"/>
  <c r="M77" i="14"/>
  <c r="M75" i="14" s="1"/>
  <c r="N77" i="14"/>
  <c r="N75" i="14" s="1"/>
  <c r="Q77" i="14"/>
  <c r="R77" i="14"/>
  <c r="S77" i="14"/>
  <c r="S75" i="14" s="1"/>
  <c r="O79" i="14"/>
  <c r="P79" i="14"/>
  <c r="T79" i="14"/>
  <c r="U79" i="14"/>
  <c r="L80" i="14"/>
  <c r="O80" i="14" s="1"/>
  <c r="M80" i="14"/>
  <c r="M78" i="14" s="1"/>
  <c r="P78" i="14" s="1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K84" i="14" s="1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M99" i="14"/>
  <c r="N99" i="14"/>
  <c r="Q99" i="14"/>
  <c r="Q97" i="14" s="1"/>
  <c r="R99" i="14"/>
  <c r="S99" i="14"/>
  <c r="Q100" i="14"/>
  <c r="T100" i="14" s="1"/>
  <c r="R100" i="14"/>
  <c r="U100" i="14" s="1"/>
  <c r="S100" i="14"/>
  <c r="O101" i="14"/>
  <c r="P101" i="14"/>
  <c r="T101" i="14"/>
  <c r="U101" i="14"/>
  <c r="L102" i="14"/>
  <c r="O102" i="14" s="1"/>
  <c r="M102" i="14"/>
  <c r="M100" i="14" s="1"/>
  <c r="P100" i="14" s="1"/>
  <c r="N102" i="14"/>
  <c r="N100" i="14" s="1"/>
  <c r="T102" i="14"/>
  <c r="U102" i="14"/>
  <c r="I108" i="14"/>
  <c r="I109" i="14"/>
  <c r="I93" i="14" s="1"/>
  <c r="I113" i="14"/>
  <c r="K113" i="14" s="1"/>
  <c r="I114" i="14"/>
  <c r="K114" i="14" s="1"/>
  <c r="J116" i="14"/>
  <c r="L118" i="14"/>
  <c r="O118" i="14" s="1"/>
  <c r="M118" i="14"/>
  <c r="N118" i="14"/>
  <c r="P118" i="14"/>
  <c r="Q118" i="14"/>
  <c r="R118" i="14"/>
  <c r="U118" i="14" s="1"/>
  <c r="S118" i="14"/>
  <c r="T118" i="14"/>
  <c r="O121" i="14"/>
  <c r="P121" i="14"/>
  <c r="T121" i="14"/>
  <c r="U121" i="14"/>
  <c r="L122" i="14"/>
  <c r="M122" i="14"/>
  <c r="N122" i="14"/>
  <c r="N120" i="14" s="1"/>
  <c r="Q122" i="14"/>
  <c r="R122" i="14"/>
  <c r="S122" i="14"/>
  <c r="O124" i="14"/>
  <c r="P124" i="14"/>
  <c r="T124" i="14"/>
  <c r="U124" i="14"/>
  <c r="L125" i="14"/>
  <c r="M125" i="14"/>
  <c r="M123" i="14" s="1"/>
  <c r="P123" i="14" s="1"/>
  <c r="N125" i="14"/>
  <c r="N123" i="14" s="1"/>
  <c r="Q125" i="14"/>
  <c r="Q123" i="14" s="1"/>
  <c r="T123" i="14" s="1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P140" i="14" s="1"/>
  <c r="N140" i="14"/>
  <c r="Q140" i="14"/>
  <c r="R140" i="14"/>
  <c r="S140" i="14"/>
  <c r="U140" i="14"/>
  <c r="O143" i="14"/>
  <c r="P143" i="14"/>
  <c r="T143" i="14"/>
  <c r="U143" i="14"/>
  <c r="L144" i="14"/>
  <c r="M144" i="14"/>
  <c r="N144" i="14"/>
  <c r="Q144" i="14"/>
  <c r="R144" i="14"/>
  <c r="R142" i="14" s="1"/>
  <c r="S144" i="14"/>
  <c r="O146" i="14"/>
  <c r="P146" i="14"/>
  <c r="T146" i="14"/>
  <c r="U146" i="14"/>
  <c r="L147" i="14"/>
  <c r="O147" i="14" s="1"/>
  <c r="M147" i="14"/>
  <c r="N147" i="14"/>
  <c r="N145" i="14" s="1"/>
  <c r="Q147" i="14"/>
  <c r="R147" i="14"/>
  <c r="S147" i="14"/>
  <c r="S145" i="14" s="1"/>
  <c r="I150" i="14"/>
  <c r="K150" i="14" s="1"/>
  <c r="I151" i="14"/>
  <c r="K151" i="14" s="1"/>
  <c r="I152" i="14"/>
  <c r="K152" i="14" s="1"/>
  <c r="I153" i="14"/>
  <c r="I138" i="14" s="1"/>
  <c r="K138" i="14" s="1"/>
  <c r="I154" i="14"/>
  <c r="K154" i="14" s="1"/>
  <c r="J156" i="14"/>
  <c r="L158" i="14"/>
  <c r="O158" i="14" s="1"/>
  <c r="M158" i="14"/>
  <c r="P158" i="14" s="1"/>
  <c r="N158" i="14"/>
  <c r="Q158" i="14"/>
  <c r="R158" i="14"/>
  <c r="U158" i="14" s="1"/>
  <c r="S158" i="14"/>
  <c r="T158" i="14"/>
  <c r="O161" i="14"/>
  <c r="P161" i="14"/>
  <c r="T161" i="14"/>
  <c r="U161" i="14"/>
  <c r="L162" i="14"/>
  <c r="M162" i="14"/>
  <c r="N162" i="14"/>
  <c r="Q162" i="14"/>
  <c r="T162" i="14" s="1"/>
  <c r="R162" i="14"/>
  <c r="S162" i="14"/>
  <c r="S159" i="14" s="1"/>
  <c r="Q163" i="14"/>
  <c r="R163" i="14"/>
  <c r="U163" i="14" s="1"/>
  <c r="S163" i="14"/>
  <c r="T163" i="14"/>
  <c r="O164" i="14"/>
  <c r="P164" i="14"/>
  <c r="T164" i="14"/>
  <c r="U164" i="14"/>
  <c r="L165" i="14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O174" i="14" s="1"/>
  <c r="M174" i="14"/>
  <c r="N174" i="14"/>
  <c r="P174" i="14"/>
  <c r="Q174" i="14"/>
  <c r="R174" i="14"/>
  <c r="U174" i="14" s="1"/>
  <c r="S174" i="14"/>
  <c r="O177" i="14"/>
  <c r="P177" i="14"/>
  <c r="T177" i="14"/>
  <c r="U177" i="14"/>
  <c r="L178" i="14"/>
  <c r="M178" i="14"/>
  <c r="N178" i="14"/>
  <c r="Q178" i="14"/>
  <c r="R178" i="14"/>
  <c r="S178" i="14"/>
  <c r="S175" i="14" s="1"/>
  <c r="Q179" i="14"/>
  <c r="R179" i="14"/>
  <c r="U179" i="14" s="1"/>
  <c r="S179" i="14"/>
  <c r="T179" i="14"/>
  <c r="O180" i="14"/>
  <c r="P180" i="14"/>
  <c r="T180" i="14"/>
  <c r="U180" i="14"/>
  <c r="L181" i="14"/>
  <c r="M181" i="14"/>
  <c r="P181" i="14" s="1"/>
  <c r="N181" i="14"/>
  <c r="N179" i="14" s="1"/>
  <c r="T181" i="14"/>
  <c r="U181" i="14"/>
  <c r="I183" i="14"/>
  <c r="I172" i="14" s="1"/>
  <c r="K172" i="14" s="1"/>
  <c r="K184" i="14"/>
  <c r="L187" i="14"/>
  <c r="M187" i="14"/>
  <c r="N187" i="14"/>
  <c r="O187" i="14"/>
  <c r="Q187" i="14"/>
  <c r="T187" i="14" s="1"/>
  <c r="R187" i="14"/>
  <c r="U187" i="14" s="1"/>
  <c r="S187" i="14"/>
  <c r="O190" i="14"/>
  <c r="P190" i="14"/>
  <c r="T190" i="14"/>
  <c r="U190" i="14"/>
  <c r="L191" i="14"/>
  <c r="L189" i="14" s="1"/>
  <c r="M191" i="14"/>
  <c r="N191" i="14"/>
  <c r="Q191" i="14"/>
  <c r="R191" i="14"/>
  <c r="S191" i="14"/>
  <c r="O193" i="14"/>
  <c r="P193" i="14"/>
  <c r="T193" i="14"/>
  <c r="U193" i="14"/>
  <c r="L194" i="14"/>
  <c r="L192" i="14" s="1"/>
  <c r="O192" i="14" s="1"/>
  <c r="M194" i="14"/>
  <c r="M192" i="14" s="1"/>
  <c r="P192" i="14" s="1"/>
  <c r="N194" i="14"/>
  <c r="N192" i="14" s="1"/>
  <c r="Q194" i="14"/>
  <c r="Q192" i="14" s="1"/>
  <c r="T192" i="14" s="1"/>
  <c r="R194" i="14"/>
  <c r="R192" i="14" s="1"/>
  <c r="U192" i="14" s="1"/>
  <c r="S194" i="14"/>
  <c r="S192" i="14" s="1"/>
  <c r="J195" i="14"/>
  <c r="L196" i="14"/>
  <c r="O196" i="14" s="1"/>
  <c r="P196" i="14"/>
  <c r="I198" i="14"/>
  <c r="I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N232" i="14" s="1"/>
  <c r="P243" i="14"/>
  <c r="L244" i="14"/>
  <c r="L245" i="14"/>
  <c r="L246" i="14"/>
  <c r="L247" i="14"/>
  <c r="I249" i="14"/>
  <c r="K251" i="14"/>
  <c r="K252" i="14"/>
  <c r="J253" i="14"/>
  <c r="J231" i="14" s="1"/>
  <c r="J185" i="14" s="1"/>
  <c r="N254" i="14"/>
  <c r="P254" i="14"/>
  <c r="L255" i="14"/>
  <c r="L256" i="14"/>
  <c r="L257" i="14"/>
  <c r="L258" i="14"/>
  <c r="I260" i="14"/>
  <c r="I253" i="14" s="1"/>
  <c r="K253" i="14" s="1"/>
  <c r="K262" i="14"/>
  <c r="K263" i="14"/>
  <c r="J265" i="14"/>
  <c r="L267" i="14"/>
  <c r="O267" i="14" s="1"/>
  <c r="M267" i="14"/>
  <c r="N267" i="14"/>
  <c r="Q267" i="14"/>
  <c r="R267" i="14"/>
  <c r="U267" i="14" s="1"/>
  <c r="S267" i="14"/>
  <c r="T267" i="14"/>
  <c r="O270" i="14"/>
  <c r="P270" i="14"/>
  <c r="T270" i="14"/>
  <c r="U270" i="14"/>
  <c r="L271" i="14"/>
  <c r="M271" i="14"/>
  <c r="N271" i="14"/>
  <c r="Q271" i="14"/>
  <c r="Q269" i="14" s="1"/>
  <c r="R271" i="14"/>
  <c r="R268" i="14" s="1"/>
  <c r="S271" i="14"/>
  <c r="Q272" i="14"/>
  <c r="T272" i="14" s="1"/>
  <c r="R272" i="14"/>
  <c r="S272" i="14"/>
  <c r="U272" i="14"/>
  <c r="O273" i="14"/>
  <c r="P273" i="14"/>
  <c r="T273" i="14"/>
  <c r="U273" i="14"/>
  <c r="L274" i="14"/>
  <c r="O274" i="14" s="1"/>
  <c r="M274" i="14"/>
  <c r="N274" i="14"/>
  <c r="N272" i="14" s="1"/>
  <c r="T274" i="14"/>
  <c r="U274" i="14"/>
  <c r="I276" i="14"/>
  <c r="K276" i="14" s="1"/>
  <c r="J281" i="14"/>
  <c r="L283" i="14"/>
  <c r="M283" i="14"/>
  <c r="P283" i="14" s="1"/>
  <c r="N283" i="14"/>
  <c r="Q283" i="14"/>
  <c r="T283" i="14" s="1"/>
  <c r="R283" i="14"/>
  <c r="R282" i="14" s="1"/>
  <c r="U282" i="14" s="1"/>
  <c r="S283" i="14"/>
  <c r="S282" i="14" s="1"/>
  <c r="U283" i="14"/>
  <c r="Q284" i="14"/>
  <c r="Q282" i="14" s="1"/>
  <c r="T282" i="14" s="1"/>
  <c r="R284" i="14"/>
  <c r="S284" i="14"/>
  <c r="T284" i="14"/>
  <c r="U284" i="14"/>
  <c r="Q285" i="14"/>
  <c r="T285" i="14" s="1"/>
  <c r="R285" i="14"/>
  <c r="S285" i="14"/>
  <c r="U285" i="14"/>
  <c r="O286" i="14"/>
  <c r="P286" i="14"/>
  <c r="T286" i="14"/>
  <c r="U286" i="14"/>
  <c r="L287" i="14"/>
  <c r="L285" i="14" s="1"/>
  <c r="M287" i="14"/>
  <c r="M285" i="14" s="1"/>
  <c r="N287" i="14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M288" i="14" s="1"/>
  <c r="P288" i="14" s="1"/>
  <c r="N290" i="14"/>
  <c r="N288" i="14" s="1"/>
  <c r="T290" i="14"/>
  <c r="U290" i="14"/>
  <c r="I292" i="14"/>
  <c r="I293" i="14"/>
  <c r="I280" i="14" s="1"/>
  <c r="J293" i="14"/>
  <c r="J280" i="14" s="1"/>
  <c r="I295" i="14"/>
  <c r="K295" i="14" s="1"/>
  <c r="I296" i="14"/>
  <c r="K296" i="14" s="1"/>
  <c r="I298" i="14"/>
  <c r="K298" i="14" s="1"/>
  <c r="I299" i="14"/>
  <c r="K299" i="14" s="1"/>
  <c r="J302" i="14"/>
  <c r="L304" i="14"/>
  <c r="O304" i="14" s="1"/>
  <c r="M304" i="14"/>
  <c r="P304" i="14" s="1"/>
  <c r="N304" i="14"/>
  <c r="Q304" i="14"/>
  <c r="R304" i="14"/>
  <c r="U304" i="14" s="1"/>
  <c r="S304" i="14"/>
  <c r="T304" i="14"/>
  <c r="O307" i="14"/>
  <c r="P307" i="14"/>
  <c r="T307" i="14"/>
  <c r="U307" i="14"/>
  <c r="L308" i="14"/>
  <c r="M308" i="14"/>
  <c r="N308" i="14"/>
  <c r="N306" i="14" s="1"/>
  <c r="Q308" i="14"/>
  <c r="Q305" i="14" s="1"/>
  <c r="R308" i="14"/>
  <c r="R305" i="14" s="1"/>
  <c r="S308" i="14"/>
  <c r="Q309" i="14"/>
  <c r="R309" i="14"/>
  <c r="U309" i="14" s="1"/>
  <c r="S309" i="14"/>
  <c r="T309" i="14"/>
  <c r="O310" i="14"/>
  <c r="P310" i="14"/>
  <c r="T310" i="14"/>
  <c r="U310" i="14"/>
  <c r="L311" i="14"/>
  <c r="O311" i="14" s="1"/>
  <c r="M311" i="14"/>
  <c r="N311" i="14"/>
  <c r="N309" i="14" s="1"/>
  <c r="T311" i="14"/>
  <c r="U311" i="14"/>
  <c r="I314" i="14"/>
  <c r="K314" i="14" s="1"/>
  <c r="J319" i="14"/>
  <c r="S320" i="14"/>
  <c r="L321" i="14"/>
  <c r="M321" i="14"/>
  <c r="N321" i="14"/>
  <c r="P321" i="14"/>
  <c r="Q321" i="14"/>
  <c r="T321" i="14" s="1"/>
  <c r="R321" i="14"/>
  <c r="S321" i="14"/>
  <c r="Q322" i="14"/>
  <c r="R322" i="14"/>
  <c r="U322" i="14" s="1"/>
  <c r="S322" i="14"/>
  <c r="Q323" i="14"/>
  <c r="T323" i="14" s="1"/>
  <c r="R323" i="14"/>
  <c r="U323" i="14" s="1"/>
  <c r="S323" i="14"/>
  <c r="O324" i="14"/>
  <c r="P324" i="14"/>
  <c r="T324" i="14"/>
  <c r="U324" i="14"/>
  <c r="L325" i="14"/>
  <c r="O325" i="14" s="1"/>
  <c r="M325" i="14"/>
  <c r="P325" i="14" s="1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O328" i="14" s="1"/>
  <c r="M328" i="14"/>
  <c r="P328" i="14" s="1"/>
  <c r="N328" i="14"/>
  <c r="T328" i="14"/>
  <c r="U328" i="14"/>
  <c r="I330" i="14"/>
  <c r="I319" i="14" s="1"/>
  <c r="K319" i="14" s="1"/>
  <c r="I332" i="14"/>
  <c r="L334" i="14"/>
  <c r="M334" i="14"/>
  <c r="N334" i="14"/>
  <c r="O334" i="14"/>
  <c r="Q334" i="14"/>
  <c r="T334" i="14" s="1"/>
  <c r="R334" i="14"/>
  <c r="S334" i="14"/>
  <c r="U334" i="14"/>
  <c r="Q335" i="14"/>
  <c r="T335" i="14" s="1"/>
  <c r="R335" i="14"/>
  <c r="R333" i="14" s="1"/>
  <c r="U333" i="14" s="1"/>
  <c r="S335" i="14"/>
  <c r="Q336" i="14"/>
  <c r="T336" i="14" s="1"/>
  <c r="R336" i="14"/>
  <c r="U336" i="14" s="1"/>
  <c r="S336" i="14"/>
  <c r="O337" i="14"/>
  <c r="P337" i="14"/>
  <c r="T337" i="14"/>
  <c r="U337" i="14"/>
  <c r="L338" i="14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M339" i="14" s="1"/>
  <c r="P339" i="14" s="1"/>
  <c r="N341" i="14"/>
  <c r="N339" i="14" s="1"/>
  <c r="T341" i="14"/>
  <c r="U341" i="14"/>
  <c r="J344" i="14"/>
  <c r="K344" i="14"/>
  <c r="I346" i="14"/>
  <c r="J346" i="14"/>
  <c r="J347" i="14"/>
  <c r="J348" i="14"/>
  <c r="J349" i="14"/>
  <c r="D350" i="14"/>
  <c r="J352" i="14"/>
  <c r="J353" i="14"/>
  <c r="J354" i="14"/>
  <c r="L357" i="14"/>
  <c r="O357" i="14" s="1"/>
  <c r="M357" i="14"/>
  <c r="P357" i="14" s="1"/>
  <c r="N357" i="14"/>
  <c r="Q357" i="14"/>
  <c r="R357" i="14"/>
  <c r="R356" i="14" s="1"/>
  <c r="U356" i="14" s="1"/>
  <c r="S357" i="14"/>
  <c r="U357" i="14"/>
  <c r="Q358" i="14"/>
  <c r="T358" i="14" s="1"/>
  <c r="R358" i="14"/>
  <c r="S358" i="14"/>
  <c r="S356" i="14" s="1"/>
  <c r="U358" i="14"/>
  <c r="Q359" i="14"/>
  <c r="T359" i="14" s="1"/>
  <c r="R359" i="14"/>
  <c r="S359" i="14"/>
  <c r="U359" i="14"/>
  <c r="O360" i="14"/>
  <c r="P360" i="14"/>
  <c r="T360" i="14"/>
  <c r="U360" i="14"/>
  <c r="L361" i="14"/>
  <c r="M361" i="14"/>
  <c r="N361" i="14"/>
  <c r="T361" i="14"/>
  <c r="U361" i="14"/>
  <c r="Q362" i="14"/>
  <c r="R362" i="14"/>
  <c r="U362" i="14" s="1"/>
  <c r="S362" i="14"/>
  <c r="T362" i="14"/>
  <c r="O363" i="14"/>
  <c r="P363" i="14"/>
  <c r="T363" i="14"/>
  <c r="U363" i="14"/>
  <c r="L364" i="14"/>
  <c r="O364" i="14" s="1"/>
  <c r="M364" i="14"/>
  <c r="M362" i="14" s="1"/>
  <c r="P362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72" i="14"/>
  <c r="K372" i="14"/>
  <c r="D373" i="14"/>
  <c r="L376" i="14"/>
  <c r="M376" i="14"/>
  <c r="N376" i="14"/>
  <c r="O376" i="14"/>
  <c r="Q376" i="14"/>
  <c r="T376" i="14" s="1"/>
  <c r="R376" i="14"/>
  <c r="U376" i="14" s="1"/>
  <c r="S376" i="14"/>
  <c r="O379" i="14"/>
  <c r="P379" i="14"/>
  <c r="T379" i="14"/>
  <c r="U379" i="14"/>
  <c r="L380" i="14"/>
  <c r="M380" i="14"/>
  <c r="M378" i="14" s="1"/>
  <c r="N380" i="14"/>
  <c r="N378" i="14" s="1"/>
  <c r="Q380" i="14"/>
  <c r="R380" i="14"/>
  <c r="R377" i="14" s="1"/>
  <c r="R375" i="14" s="1"/>
  <c r="S380" i="14"/>
  <c r="S378" i="14" s="1"/>
  <c r="Q381" i="14"/>
  <c r="T381" i="14" s="1"/>
  <c r="R381" i="14"/>
  <c r="U381" i="14" s="1"/>
  <c r="S381" i="14"/>
  <c r="O382" i="14"/>
  <c r="P382" i="14"/>
  <c r="T382" i="14"/>
  <c r="U382" i="14"/>
  <c r="L383" i="14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J391" i="14"/>
  <c r="K391" i="14"/>
  <c r="M392" i="14"/>
  <c r="P392" i="14" s="1"/>
  <c r="L393" i="14"/>
  <c r="M393" i="14"/>
  <c r="N393" i="14"/>
  <c r="O393" i="14"/>
  <c r="P393" i="14"/>
  <c r="Q393" i="14"/>
  <c r="R393" i="14"/>
  <c r="S393" i="14"/>
  <c r="T393" i="14"/>
  <c r="U393" i="14"/>
  <c r="L394" i="14"/>
  <c r="O394" i="14" s="1"/>
  <c r="M394" i="14"/>
  <c r="P394" i="14" s="1"/>
  <c r="N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Q394" i="14" s="1"/>
  <c r="Q392" i="14" s="1"/>
  <c r="T392" i="14" s="1"/>
  <c r="R397" i="14"/>
  <c r="R395" i="14" s="1"/>
  <c r="U395" i="14" s="1"/>
  <c r="S397" i="14"/>
  <c r="S394" i="14" s="1"/>
  <c r="L398" i="14"/>
  <c r="M398" i="14"/>
  <c r="N398" i="14"/>
  <c r="O398" i="14"/>
  <c r="P398" i="14"/>
  <c r="Q398" i="14"/>
  <c r="T398" i="14" s="1"/>
  <c r="R398" i="14"/>
  <c r="S398" i="14"/>
  <c r="U398" i="14"/>
  <c r="O399" i="14"/>
  <c r="P399" i="14"/>
  <c r="T399" i="14"/>
  <c r="U399" i="14"/>
  <c r="O400" i="14"/>
  <c r="P400" i="14"/>
  <c r="T400" i="14"/>
  <c r="U400" i="14"/>
  <c r="L414" i="14"/>
  <c r="M414" i="14"/>
  <c r="N414" i="14"/>
  <c r="O414" i="14"/>
  <c r="P414" i="14"/>
  <c r="Q414" i="14"/>
  <c r="R414" i="14"/>
  <c r="S414" i="14"/>
  <c r="U414" i="14"/>
  <c r="O417" i="14"/>
  <c r="P417" i="14"/>
  <c r="T417" i="14"/>
  <c r="U417" i="14"/>
  <c r="L418" i="14"/>
  <c r="M418" i="14"/>
  <c r="N418" i="14"/>
  <c r="Q418" i="14"/>
  <c r="R418" i="14"/>
  <c r="R415" i="14" s="1"/>
  <c r="S418" i="14"/>
  <c r="S416" i="14" s="1"/>
  <c r="Q419" i="14"/>
  <c r="T419" i="14" s="1"/>
  <c r="R419" i="14"/>
  <c r="U419" i="14" s="1"/>
  <c r="S419" i="14"/>
  <c r="O420" i="14"/>
  <c r="P420" i="14"/>
  <c r="T420" i="14"/>
  <c r="U420" i="14"/>
  <c r="L421" i="14"/>
  <c r="M421" i="14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J433" i="14"/>
  <c r="I440" i="14"/>
  <c r="I441" i="14"/>
  <c r="J446" i="14"/>
  <c r="J440" i="14" s="1"/>
  <c r="J423" i="14" s="1"/>
  <c r="J412" i="14" s="1"/>
  <c r="J447" i="14"/>
  <c r="J441" i="14" s="1"/>
  <c r="I457" i="14"/>
  <c r="I456" i="14" s="1"/>
  <c r="I458" i="14"/>
  <c r="J459" i="14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K485" i="14" s="1"/>
  <c r="J485" i="14"/>
  <c r="L494" i="14"/>
  <c r="O494" i="14" s="1"/>
  <c r="M494" i="14"/>
  <c r="P494" i="14" s="1"/>
  <c r="N494" i="14"/>
  <c r="Q494" i="14"/>
  <c r="R494" i="14"/>
  <c r="S494" i="14"/>
  <c r="T494" i="14"/>
  <c r="U494" i="14"/>
  <c r="O497" i="14"/>
  <c r="P497" i="14"/>
  <c r="T497" i="14"/>
  <c r="U497" i="14"/>
  <c r="L498" i="14"/>
  <c r="M498" i="14"/>
  <c r="N498" i="14"/>
  <c r="N496" i="14" s="1"/>
  <c r="Q498" i="14"/>
  <c r="Q495" i="14" s="1"/>
  <c r="R498" i="14"/>
  <c r="R496" i="14" s="1"/>
  <c r="U496" i="14" s="1"/>
  <c r="S498" i="14"/>
  <c r="S495" i="14" s="1"/>
  <c r="Q499" i="14"/>
  <c r="T499" i="14" s="1"/>
  <c r="R499" i="14"/>
  <c r="U499" i="14" s="1"/>
  <c r="S499" i="14"/>
  <c r="O500" i="14"/>
  <c r="P500" i="14"/>
  <c r="T500" i="14"/>
  <c r="U500" i="14"/>
  <c r="L501" i="14"/>
  <c r="M501" i="14"/>
  <c r="N501" i="14"/>
  <c r="N499" i="14" s="1"/>
  <c r="T501" i="14"/>
  <c r="U501" i="14"/>
  <c r="I503" i="14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N514" i="14"/>
  <c r="Q514" i="14"/>
  <c r="R514" i="14"/>
  <c r="S514" i="14"/>
  <c r="Q515" i="14"/>
  <c r="R515" i="14"/>
  <c r="S515" i="14"/>
  <c r="T515" i="14"/>
  <c r="U515" i="14"/>
  <c r="Q516" i="14"/>
  <c r="T516" i="14" s="1"/>
  <c r="R516" i="14"/>
  <c r="S516" i="14"/>
  <c r="U516" i="14"/>
  <c r="O517" i="14"/>
  <c r="P517" i="14"/>
  <c r="T517" i="14"/>
  <c r="U517" i="14"/>
  <c r="L518" i="14"/>
  <c r="L516" i="14" s="1"/>
  <c r="O516" i="14" s="1"/>
  <c r="M518" i="14"/>
  <c r="P518" i="14" s="1"/>
  <c r="N518" i="14"/>
  <c r="N516" i="14" s="1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J533" i="14"/>
  <c r="K533" i="14" s="1"/>
  <c r="L535" i="14"/>
  <c r="O535" i="14" s="1"/>
  <c r="M535" i="14"/>
  <c r="N535" i="14"/>
  <c r="Q535" i="14"/>
  <c r="R535" i="14"/>
  <c r="U535" i="14" s="1"/>
  <c r="S535" i="14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N539" i="14"/>
  <c r="N537" i="14" s="1"/>
  <c r="T539" i="14"/>
  <c r="U539" i="14"/>
  <c r="Q540" i="14"/>
  <c r="T540" i="14" s="1"/>
  <c r="R540" i="14"/>
  <c r="S540" i="14"/>
  <c r="U540" i="14"/>
  <c r="O541" i="14"/>
  <c r="P541" i="14"/>
  <c r="T541" i="14"/>
  <c r="U541" i="14"/>
  <c r="L542" i="14"/>
  <c r="M542" i="14"/>
  <c r="N542" i="14"/>
  <c r="N540" i="14" s="1"/>
  <c r="T542" i="14"/>
  <c r="U542" i="14"/>
  <c r="K544" i="14"/>
  <c r="I554" i="14"/>
  <c r="K554" i="14" s="1"/>
  <c r="J554" i="14"/>
  <c r="L556" i="14"/>
  <c r="M556" i="14"/>
  <c r="N556" i="14"/>
  <c r="O556" i="14"/>
  <c r="P556" i="14"/>
  <c r="Q556" i="14"/>
  <c r="R556" i="14"/>
  <c r="S556" i="14"/>
  <c r="S555" i="14" s="1"/>
  <c r="U556" i="14"/>
  <c r="Q557" i="14"/>
  <c r="T557" i="14" s="1"/>
  <c r="R557" i="14"/>
  <c r="U557" i="14" s="1"/>
  <c r="S557" i="14"/>
  <c r="Q558" i="14"/>
  <c r="T558" i="14" s="1"/>
  <c r="R558" i="14"/>
  <c r="U558" i="14" s="1"/>
  <c r="S558" i="14"/>
  <c r="O559" i="14"/>
  <c r="P559" i="14"/>
  <c r="T559" i="14"/>
  <c r="U559" i="14"/>
  <c r="L560" i="14"/>
  <c r="M560" i="14"/>
  <c r="N560" i="14"/>
  <c r="N558" i="14" s="1"/>
  <c r="T560" i="14"/>
  <c r="U560" i="14"/>
  <c r="Q561" i="14"/>
  <c r="T561" i="14" s="1"/>
  <c r="R561" i="14"/>
  <c r="U561" i="14" s="1"/>
  <c r="S561" i="14"/>
  <c r="O562" i="14"/>
  <c r="P562" i="14"/>
  <c r="T562" i="14"/>
  <c r="U562" i="14"/>
  <c r="L563" i="14"/>
  <c r="L561" i="14" s="1"/>
  <c r="O561" i="14" s="1"/>
  <c r="M563" i="14"/>
  <c r="M561" i="14" s="1"/>
  <c r="P561" i="14" s="1"/>
  <c r="N563" i="14"/>
  <c r="N561" i="14" s="1"/>
  <c r="T563" i="14"/>
  <c r="U563" i="14"/>
  <c r="I575" i="14"/>
  <c r="J575" i="14"/>
  <c r="K575" i="14" s="1"/>
  <c r="Q576" i="14"/>
  <c r="T576" i="14" s="1"/>
  <c r="L577" i="14"/>
  <c r="M577" i="14"/>
  <c r="N577" i="14"/>
  <c r="Q577" i="14"/>
  <c r="R577" i="14"/>
  <c r="S577" i="14"/>
  <c r="S576" i="14" s="1"/>
  <c r="T577" i="14"/>
  <c r="Q578" i="14"/>
  <c r="R578" i="14"/>
  <c r="S578" i="14"/>
  <c r="T578" i="14"/>
  <c r="U578" i="14"/>
  <c r="Q579" i="14"/>
  <c r="T579" i="14" s="1"/>
  <c r="R579" i="14"/>
  <c r="U579" i="14" s="1"/>
  <c r="S579" i="14"/>
  <c r="O580" i="14"/>
  <c r="P580" i="14"/>
  <c r="T580" i="14"/>
  <c r="U580" i="14"/>
  <c r="L581" i="14"/>
  <c r="L579" i="14" s="1"/>
  <c r="M581" i="14"/>
  <c r="N581" i="14"/>
  <c r="N579" i="14" s="1"/>
  <c r="T581" i="14"/>
  <c r="U581" i="14"/>
  <c r="Q582" i="14"/>
  <c r="R582" i="14"/>
  <c r="U582" i="14" s="1"/>
  <c r="S582" i="14"/>
  <c r="T582" i="14"/>
  <c r="O583" i="14"/>
  <c r="P583" i="14"/>
  <c r="T583" i="14"/>
  <c r="U583" i="14"/>
  <c r="L584" i="14"/>
  <c r="M584" i="14"/>
  <c r="M582" i="14" s="1"/>
  <c r="P582" i="14" s="1"/>
  <c r="N584" i="14"/>
  <c r="N582" i="14" s="1"/>
  <c r="T584" i="14"/>
  <c r="U584" i="14"/>
  <c r="K586" i="14"/>
  <c r="K587" i="14"/>
  <c r="L600" i="14"/>
  <c r="M600" i="14"/>
  <c r="N600" i="14"/>
  <c r="P600" i="14"/>
  <c r="Q600" i="14"/>
  <c r="R600" i="14"/>
  <c r="S600" i="14"/>
  <c r="O603" i="14"/>
  <c r="P603" i="14"/>
  <c r="T603" i="14"/>
  <c r="U603" i="14"/>
  <c r="L604" i="14"/>
  <c r="M604" i="14"/>
  <c r="N604" i="14"/>
  <c r="Q604" i="14"/>
  <c r="Q602" i="14" s="1"/>
  <c r="T602" i="14" s="1"/>
  <c r="R604" i="14"/>
  <c r="S604" i="14"/>
  <c r="S602" i="14" s="1"/>
  <c r="O606" i="14"/>
  <c r="P606" i="14"/>
  <c r="T606" i="14"/>
  <c r="U606" i="14"/>
  <c r="L607" i="14"/>
  <c r="M607" i="14"/>
  <c r="N607" i="14"/>
  <c r="N605" i="14" s="1"/>
  <c r="Q607" i="14"/>
  <c r="Q605" i="14" s="1"/>
  <c r="T605" i="14" s="1"/>
  <c r="R607" i="14"/>
  <c r="R605" i="14" s="1"/>
  <c r="U605" i="14" s="1"/>
  <c r="S607" i="14"/>
  <c r="S605" i="14" s="1"/>
  <c r="L617" i="14"/>
  <c r="M617" i="14"/>
  <c r="P617" i="14" s="1"/>
  <c r="N617" i="14"/>
  <c r="O617" i="14"/>
  <c r="Q617" i="14"/>
  <c r="R617" i="14"/>
  <c r="S617" i="14"/>
  <c r="U617" i="14"/>
  <c r="L618" i="14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S621" i="14"/>
  <c r="S619" i="14" s="1"/>
  <c r="L622" i="14"/>
  <c r="M622" i="14"/>
  <c r="N622" i="14"/>
  <c r="O622" i="14"/>
  <c r="P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I615" i="14" s="1"/>
  <c r="I627" i="14"/>
  <c r="K627" i="14" s="1"/>
  <c r="I628" i="14"/>
  <c r="K628" i="14" s="1"/>
  <c r="J632" i="14"/>
  <c r="I635" i="14"/>
  <c r="K635" i="14" s="1"/>
  <c r="J636" i="14"/>
  <c r="J635" i="14" s="1"/>
  <c r="L643" i="14"/>
  <c r="M643" i="14"/>
  <c r="M642" i="14" s="1"/>
  <c r="P642" i="14" s="1"/>
  <c r="N643" i="14"/>
  <c r="N642" i="14" s="1"/>
  <c r="Q643" i="14"/>
  <c r="R643" i="14"/>
  <c r="S643" i="14"/>
  <c r="T643" i="14"/>
  <c r="L644" i="14"/>
  <c r="O644" i="14" s="1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4" i="14" s="1"/>
  <c r="R647" i="14"/>
  <c r="R645" i="14" s="1"/>
  <c r="U645" i="14" s="1"/>
  <c r="S647" i="14"/>
  <c r="S645" i="14" s="1"/>
  <c r="L648" i="14"/>
  <c r="O648" i="14" s="1"/>
  <c r="M648" i="14"/>
  <c r="P648" i="14" s="1"/>
  <c r="N648" i="14"/>
  <c r="Q648" i="14"/>
  <c r="T648" i="14" s="1"/>
  <c r="R648" i="14"/>
  <c r="U648" i="14" s="1"/>
  <c r="S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Q691" i="14"/>
  <c r="T691" i="14" s="1"/>
  <c r="R691" i="14"/>
  <c r="S691" i="14"/>
  <c r="L692" i="14"/>
  <c r="O692" i="14" s="1"/>
  <c r="M692" i="14"/>
  <c r="P692" i="14" s="1"/>
  <c r="N692" i="14"/>
  <c r="L693" i="14"/>
  <c r="O693" i="14" s="1"/>
  <c r="M693" i="14"/>
  <c r="N693" i="14"/>
  <c r="P693" i="14"/>
  <c r="O694" i="14"/>
  <c r="P694" i="14"/>
  <c r="T694" i="14"/>
  <c r="U694" i="14"/>
  <c r="O695" i="14"/>
  <c r="P695" i="14"/>
  <c r="Q695" i="14"/>
  <c r="Q692" i="14" s="1"/>
  <c r="R695" i="14"/>
  <c r="R693" i="14" s="1"/>
  <c r="S695" i="14"/>
  <c r="S693" i="14" s="1"/>
  <c r="L696" i="14"/>
  <c r="O696" i="14" s="1"/>
  <c r="M696" i="14"/>
  <c r="P696" i="14" s="1"/>
  <c r="N696" i="14"/>
  <c r="Q696" i="14"/>
  <c r="R696" i="14"/>
  <c r="U696" i="14" s="1"/>
  <c r="S696" i="14"/>
  <c r="T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Q715" i="14"/>
  <c r="R715" i="14"/>
  <c r="S715" i="14"/>
  <c r="L716" i="14"/>
  <c r="O716" i="14" s="1"/>
  <c r="M716" i="14"/>
  <c r="P716" i="14" s="1"/>
  <c r="N716" i="14"/>
  <c r="N714" i="14" s="1"/>
  <c r="Q716" i="14"/>
  <c r="R716" i="14"/>
  <c r="U716" i="14" s="1"/>
  <c r="S716" i="14"/>
  <c r="T716" i="14"/>
  <c r="L717" i="14"/>
  <c r="M717" i="14"/>
  <c r="N717" i="14"/>
  <c r="O717" i="14"/>
  <c r="P717" i="14"/>
  <c r="Q717" i="14"/>
  <c r="T717" i="14" s="1"/>
  <c r="R717" i="14"/>
  <c r="S717" i="14"/>
  <c r="U717" i="14"/>
  <c r="O718" i="14"/>
  <c r="P718" i="14"/>
  <c r="T718" i="14"/>
  <c r="U718" i="14"/>
  <c r="O719" i="14"/>
  <c r="P719" i="14"/>
  <c r="T719" i="14"/>
  <c r="U719" i="14"/>
  <c r="L720" i="14"/>
  <c r="M720" i="14"/>
  <c r="N720" i="14"/>
  <c r="O720" i="14"/>
  <c r="P720" i="14"/>
  <c r="Q720" i="14"/>
  <c r="T720" i="14" s="1"/>
  <c r="R720" i="14"/>
  <c r="S720" i="14"/>
  <c r="U720" i="14"/>
  <c r="O721" i="14"/>
  <c r="P721" i="14"/>
  <c r="T721" i="14"/>
  <c r="U721" i="14"/>
  <c r="O722" i="14"/>
  <c r="P722" i="14"/>
  <c r="T722" i="14"/>
  <c r="U722" i="14"/>
  <c r="I726" i="14"/>
  <c r="J726" i="14"/>
  <c r="I727" i="14"/>
  <c r="J727" i="14"/>
  <c r="N728" i="14"/>
  <c r="L729" i="14"/>
  <c r="M729" i="14"/>
  <c r="M728" i="14" s="1"/>
  <c r="P728" i="14" s="1"/>
  <c r="N729" i="14"/>
  <c r="Q729" i="14"/>
  <c r="R729" i="14"/>
  <c r="S729" i="14"/>
  <c r="L730" i="14"/>
  <c r="O730" i="14" s="1"/>
  <c r="M730" i="14"/>
  <c r="P730" i="14" s="1"/>
  <c r="N730" i="14"/>
  <c r="L731" i="14"/>
  <c r="M731" i="14"/>
  <c r="N731" i="14"/>
  <c r="O731" i="14"/>
  <c r="P731" i="14"/>
  <c r="O732" i="14"/>
  <c r="P732" i="14"/>
  <c r="T732" i="14"/>
  <c r="U732" i="14"/>
  <c r="O733" i="14"/>
  <c r="P733" i="14"/>
  <c r="Q733" i="14"/>
  <c r="Q731" i="14" s="1"/>
  <c r="R733" i="14"/>
  <c r="R731" i="14" s="1"/>
  <c r="S733" i="14"/>
  <c r="S731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N761" i="14"/>
  <c r="Q761" i="14"/>
  <c r="R761" i="14"/>
  <c r="S761" i="14"/>
  <c r="L762" i="14"/>
  <c r="O762" i="14" s="1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R763" i="14" s="1"/>
  <c r="S765" i="14"/>
  <c r="L766" i="14"/>
  <c r="O766" i="14" s="1"/>
  <c r="M766" i="14"/>
  <c r="P766" i="14" s="1"/>
  <c r="N766" i="14"/>
  <c r="Q766" i="14"/>
  <c r="R766" i="14"/>
  <c r="U766" i="14" s="1"/>
  <c r="S766" i="14"/>
  <c r="T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L19" i="13" s="1"/>
  <c r="M22" i="13"/>
  <c r="N22" i="13"/>
  <c r="Q22" i="13"/>
  <c r="T22" i="13" s="1"/>
  <c r="R22" i="13"/>
  <c r="S22" i="13"/>
  <c r="S19" i="13" s="1"/>
  <c r="L25" i="13"/>
  <c r="M25" i="13"/>
  <c r="N25" i="13"/>
  <c r="Q25" i="13"/>
  <c r="T25" i="13" s="1"/>
  <c r="R25" i="13"/>
  <c r="S25" i="13"/>
  <c r="L45" i="13"/>
  <c r="O45" i="13" s="1"/>
  <c r="M45" i="13"/>
  <c r="N45" i="13"/>
  <c r="Q45" i="13"/>
  <c r="R45" i="13"/>
  <c r="U45" i="13" s="1"/>
  <c r="S45" i="13"/>
  <c r="T45" i="13"/>
  <c r="Q46" i="13"/>
  <c r="R46" i="13"/>
  <c r="S46" i="13"/>
  <c r="U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M52" i="13"/>
  <c r="N52" i="13"/>
  <c r="N50" i="13" s="1"/>
  <c r="T52" i="13"/>
  <c r="U52" i="13"/>
  <c r="L60" i="13"/>
  <c r="O60" i="13" s="1"/>
  <c r="M60" i="13"/>
  <c r="N60" i="13"/>
  <c r="Q60" i="13"/>
  <c r="T60" i="13" s="1"/>
  <c r="R60" i="13"/>
  <c r="S60" i="13"/>
  <c r="Q61" i="13"/>
  <c r="R61" i="13"/>
  <c r="U61" i="13" s="1"/>
  <c r="S61" i="13"/>
  <c r="T61" i="13"/>
  <c r="Q62" i="13"/>
  <c r="T62" i="13" s="1"/>
  <c r="R62" i="13"/>
  <c r="U62" i="13" s="1"/>
  <c r="S62" i="13"/>
  <c r="O63" i="13"/>
  <c r="P63" i="13"/>
  <c r="T63" i="13"/>
  <c r="U63" i="13"/>
  <c r="L64" i="13"/>
  <c r="M64" i="13"/>
  <c r="N64" i="13"/>
  <c r="N62" i="13" s="1"/>
  <c r="T64" i="13"/>
  <c r="U64" i="13"/>
  <c r="Q65" i="13"/>
  <c r="R65" i="13"/>
  <c r="S65" i="13"/>
  <c r="T65" i="13"/>
  <c r="U65" i="13"/>
  <c r="O66" i="13"/>
  <c r="P66" i="13"/>
  <c r="T66" i="13"/>
  <c r="U66" i="13"/>
  <c r="L67" i="13"/>
  <c r="M67" i="13"/>
  <c r="N67" i="13"/>
  <c r="N65" i="13" s="1"/>
  <c r="T67" i="13"/>
  <c r="U67" i="13"/>
  <c r="L73" i="13"/>
  <c r="O73" i="13" s="1"/>
  <c r="M73" i="13"/>
  <c r="N73" i="13"/>
  <c r="Q73" i="13"/>
  <c r="R73" i="13"/>
  <c r="U73" i="13" s="1"/>
  <c r="S73" i="13"/>
  <c r="T73" i="13"/>
  <c r="O76" i="13"/>
  <c r="P76" i="13"/>
  <c r="T76" i="13"/>
  <c r="U76" i="13"/>
  <c r="L77" i="13"/>
  <c r="L75" i="13" s="1"/>
  <c r="O75" i="13" s="1"/>
  <c r="M77" i="13"/>
  <c r="N77" i="13"/>
  <c r="N75" i="13" s="1"/>
  <c r="Q77" i="13"/>
  <c r="T77" i="13" s="1"/>
  <c r="R77" i="13"/>
  <c r="S77" i="13"/>
  <c r="O79" i="13"/>
  <c r="P79" i="13"/>
  <c r="T79" i="13"/>
  <c r="U79" i="13"/>
  <c r="L80" i="13"/>
  <c r="M80" i="13"/>
  <c r="M78" i="13" s="1"/>
  <c r="P78" i="13" s="1"/>
  <c r="N80" i="13"/>
  <c r="N78" i="13" s="1"/>
  <c r="Q80" i="13"/>
  <c r="T80" i="13" s="1"/>
  <c r="R80" i="13"/>
  <c r="U80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R95" i="13"/>
  <c r="S95" i="13"/>
  <c r="O98" i="13"/>
  <c r="P98" i="13"/>
  <c r="T98" i="13"/>
  <c r="U98" i="13"/>
  <c r="L99" i="13"/>
  <c r="M99" i="13"/>
  <c r="N99" i="13"/>
  <c r="N97" i="13" s="1"/>
  <c r="Q99" i="13"/>
  <c r="R99" i="13"/>
  <c r="S99" i="13"/>
  <c r="Q100" i="13"/>
  <c r="R100" i="13"/>
  <c r="U100" i="13" s="1"/>
  <c r="S100" i="13"/>
  <c r="T100" i="13"/>
  <c r="O101" i="13"/>
  <c r="P101" i="13"/>
  <c r="T101" i="13"/>
  <c r="U101" i="13"/>
  <c r="L102" i="13"/>
  <c r="M102" i="13"/>
  <c r="N102" i="13"/>
  <c r="T102" i="13"/>
  <c r="U102" i="13"/>
  <c r="I108" i="13"/>
  <c r="I109" i="13"/>
  <c r="I93" i="13" s="1"/>
  <c r="I113" i="13"/>
  <c r="K113" i="13" s="1"/>
  <c r="I114" i="13"/>
  <c r="K114" i="13" s="1"/>
  <c r="J116" i="13"/>
  <c r="L118" i="13"/>
  <c r="M118" i="13"/>
  <c r="P118" i="13" s="1"/>
  <c r="N118" i="13"/>
  <c r="O118" i="13"/>
  <c r="Q118" i="13"/>
  <c r="R118" i="13"/>
  <c r="S118" i="13"/>
  <c r="T118" i="13"/>
  <c r="U118" i="13"/>
  <c r="O121" i="13"/>
  <c r="P121" i="13"/>
  <c r="T121" i="13"/>
  <c r="U121" i="13"/>
  <c r="L122" i="13"/>
  <c r="O122" i="13" s="1"/>
  <c r="M122" i="13"/>
  <c r="N122" i="13"/>
  <c r="Q122" i="13"/>
  <c r="R122" i="13"/>
  <c r="S122" i="13"/>
  <c r="S120" i="13" s="1"/>
  <c r="O124" i="13"/>
  <c r="P124" i="13"/>
  <c r="T124" i="13"/>
  <c r="U124" i="13"/>
  <c r="L125" i="13"/>
  <c r="O125" i="13" s="1"/>
  <c r="M125" i="13"/>
  <c r="P125" i="13" s="1"/>
  <c r="N125" i="13"/>
  <c r="N123" i="13" s="1"/>
  <c r="Q125" i="13"/>
  <c r="R125" i="13"/>
  <c r="R123" i="13" s="1"/>
  <c r="U123" i="13" s="1"/>
  <c r="S125" i="13"/>
  <c r="S123" i="13" s="1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T140" i="13" s="1"/>
  <c r="R140" i="13"/>
  <c r="U140" i="13" s="1"/>
  <c r="S140" i="13"/>
  <c r="O143" i="13"/>
  <c r="P143" i="13"/>
  <c r="T143" i="13"/>
  <c r="U143" i="13"/>
  <c r="L144" i="13"/>
  <c r="M144" i="13"/>
  <c r="P144" i="13" s="1"/>
  <c r="N144" i="13"/>
  <c r="Q144" i="13"/>
  <c r="R144" i="13"/>
  <c r="R142" i="13" s="1"/>
  <c r="U142" i="13" s="1"/>
  <c r="S144" i="13"/>
  <c r="O146" i="13"/>
  <c r="P146" i="13"/>
  <c r="T146" i="13"/>
  <c r="U146" i="13"/>
  <c r="L147" i="13"/>
  <c r="M147" i="13"/>
  <c r="P147" i="13" s="1"/>
  <c r="N147" i="13"/>
  <c r="N145" i="13" s="1"/>
  <c r="Q147" i="13"/>
  <c r="T147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K153" i="13" s="1"/>
  <c r="I154" i="13"/>
  <c r="J156" i="13"/>
  <c r="L158" i="13"/>
  <c r="O158" i="13" s="1"/>
  <c r="M158" i="13"/>
  <c r="N158" i="13"/>
  <c r="P158" i="13"/>
  <c r="Q158" i="13"/>
  <c r="R158" i="13"/>
  <c r="S158" i="13"/>
  <c r="T158" i="13"/>
  <c r="O161" i="13"/>
  <c r="P161" i="13"/>
  <c r="T161" i="13"/>
  <c r="U161" i="13"/>
  <c r="L162" i="13"/>
  <c r="M162" i="13"/>
  <c r="N162" i="13"/>
  <c r="Q162" i="13"/>
  <c r="Q160" i="13" s="1"/>
  <c r="T160" i="13" s="1"/>
  <c r="R162" i="13"/>
  <c r="U162" i="13" s="1"/>
  <c r="S162" i="13"/>
  <c r="Q163" i="13"/>
  <c r="R163" i="13"/>
  <c r="U163" i="13" s="1"/>
  <c r="S163" i="13"/>
  <c r="T163" i="13"/>
  <c r="O164" i="13"/>
  <c r="P164" i="13"/>
  <c r="T164" i="13"/>
  <c r="U164" i="13"/>
  <c r="L165" i="13"/>
  <c r="O165" i="13" s="1"/>
  <c r="M165" i="13"/>
  <c r="N165" i="13"/>
  <c r="N163" i="13" s="1"/>
  <c r="T165" i="13"/>
  <c r="U165" i="13"/>
  <c r="I167" i="13"/>
  <c r="I169" i="13" s="1"/>
  <c r="K169" i="13" s="1"/>
  <c r="J172" i="13"/>
  <c r="L174" i="13"/>
  <c r="M174" i="13"/>
  <c r="N174" i="13"/>
  <c r="P174" i="13"/>
  <c r="Q174" i="13"/>
  <c r="R174" i="13"/>
  <c r="S174" i="13"/>
  <c r="T174" i="13"/>
  <c r="O177" i="13"/>
  <c r="P177" i="13"/>
  <c r="T177" i="13"/>
  <c r="U177" i="13"/>
  <c r="L178" i="13"/>
  <c r="M178" i="13"/>
  <c r="M176" i="13" s="1"/>
  <c r="N178" i="13"/>
  <c r="Q178" i="13"/>
  <c r="R178" i="13"/>
  <c r="S178" i="13"/>
  <c r="Q179" i="13"/>
  <c r="T179" i="13" s="1"/>
  <c r="R179" i="13"/>
  <c r="U179" i="13" s="1"/>
  <c r="S179" i="13"/>
  <c r="O180" i="13"/>
  <c r="P180" i="13"/>
  <c r="T180" i="13"/>
  <c r="U180" i="13"/>
  <c r="L181" i="13"/>
  <c r="O181" i="13" s="1"/>
  <c r="M181" i="13"/>
  <c r="P181" i="13" s="1"/>
  <c r="N181" i="13"/>
  <c r="N179" i="13" s="1"/>
  <c r="T181" i="13"/>
  <c r="U181" i="13"/>
  <c r="I183" i="13"/>
  <c r="K184" i="13"/>
  <c r="L187" i="13"/>
  <c r="M187" i="13"/>
  <c r="P187" i="13" s="1"/>
  <c r="N187" i="13"/>
  <c r="Q187" i="13"/>
  <c r="R187" i="13"/>
  <c r="S187" i="13"/>
  <c r="U187" i="13"/>
  <c r="O190" i="13"/>
  <c r="P190" i="13"/>
  <c r="T190" i="13"/>
  <c r="U190" i="13"/>
  <c r="L191" i="13"/>
  <c r="M191" i="13"/>
  <c r="N191" i="13"/>
  <c r="Q191" i="13"/>
  <c r="R191" i="13"/>
  <c r="R189" i="13" s="1"/>
  <c r="S191" i="13"/>
  <c r="O193" i="13"/>
  <c r="P193" i="13"/>
  <c r="T193" i="13"/>
  <c r="U193" i="13"/>
  <c r="L194" i="13"/>
  <c r="O194" i="13" s="1"/>
  <c r="M194" i="13"/>
  <c r="P194" i="13" s="1"/>
  <c r="N194" i="13"/>
  <c r="N192" i="13" s="1"/>
  <c r="Q194" i="13"/>
  <c r="Q192" i="13" s="1"/>
  <c r="T192" i="13" s="1"/>
  <c r="R194" i="13"/>
  <c r="S194" i="13"/>
  <c r="S192" i="13" s="1"/>
  <c r="J195" i="13"/>
  <c r="L196" i="13"/>
  <c r="O196" i="13" s="1"/>
  <c r="P196" i="13"/>
  <c r="I198" i="13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K220" i="13" s="1"/>
  <c r="J221" i="13"/>
  <c r="N222" i="13"/>
  <c r="P222" i="13"/>
  <c r="L223" i="13"/>
  <c r="L224" i="13"/>
  <c r="L225" i="13"/>
  <c r="I228" i="13"/>
  <c r="K228" i="13" s="1"/>
  <c r="I229" i="13"/>
  <c r="I230" i="13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J231" i="13" s="1"/>
  <c r="J185" i="13" s="1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O267" i="13" s="1"/>
  <c r="M267" i="13"/>
  <c r="N267" i="13"/>
  <c r="P267" i="13"/>
  <c r="Q267" i="13"/>
  <c r="T267" i="13" s="1"/>
  <c r="R267" i="13"/>
  <c r="U267" i="13" s="1"/>
  <c r="S267" i="13"/>
  <c r="O270" i="13"/>
  <c r="P270" i="13"/>
  <c r="T270" i="13"/>
  <c r="U270" i="13"/>
  <c r="L271" i="13"/>
  <c r="L269" i="13" s="1"/>
  <c r="M271" i="13"/>
  <c r="M269" i="13" s="1"/>
  <c r="N271" i="13"/>
  <c r="Q271" i="13"/>
  <c r="R271" i="13"/>
  <c r="S271" i="13"/>
  <c r="S269" i="13" s="1"/>
  <c r="Q272" i="13"/>
  <c r="T272" i="13" s="1"/>
  <c r="R272" i="13"/>
  <c r="U272" i="13" s="1"/>
  <c r="S272" i="13"/>
  <c r="O273" i="13"/>
  <c r="P273" i="13"/>
  <c r="T273" i="13"/>
  <c r="U273" i="13"/>
  <c r="L274" i="13"/>
  <c r="L272" i="13" s="1"/>
  <c r="O272" i="13" s="1"/>
  <c r="M274" i="13"/>
  <c r="M272" i="13" s="1"/>
  <c r="P272" i="13" s="1"/>
  <c r="N274" i="13"/>
  <c r="N272" i="13" s="1"/>
  <c r="T274" i="13"/>
  <c r="U274" i="13"/>
  <c r="I276" i="13"/>
  <c r="I265" i="13" s="1"/>
  <c r="J281" i="13"/>
  <c r="Q282" i="13"/>
  <c r="T282" i="13" s="1"/>
  <c r="L283" i="13"/>
  <c r="M283" i="13"/>
  <c r="P283" i="13" s="1"/>
  <c r="N283" i="13"/>
  <c r="Q283" i="13"/>
  <c r="T283" i="13" s="1"/>
  <c r="R283" i="13"/>
  <c r="S283" i="13"/>
  <c r="S282" i="13" s="1"/>
  <c r="Q284" i="13"/>
  <c r="R284" i="13"/>
  <c r="S284" i="13"/>
  <c r="T284" i="13"/>
  <c r="U284" i="13"/>
  <c r="Q285" i="13"/>
  <c r="T285" i="13" s="1"/>
  <c r="R285" i="13"/>
  <c r="S285" i="13"/>
  <c r="U285" i="13"/>
  <c r="O286" i="13"/>
  <c r="P286" i="13"/>
  <c r="T286" i="13"/>
  <c r="U286" i="13"/>
  <c r="L287" i="13"/>
  <c r="M287" i="13"/>
  <c r="M285" i="13" s="1"/>
  <c r="N287" i="13"/>
  <c r="N285" i="13" s="1"/>
  <c r="T287" i="13"/>
  <c r="U287" i="13"/>
  <c r="Q288" i="13"/>
  <c r="T288" i="13" s="1"/>
  <c r="R288" i="13"/>
  <c r="S288" i="13"/>
  <c r="U288" i="13"/>
  <c r="O289" i="13"/>
  <c r="P289" i="13"/>
  <c r="T289" i="13"/>
  <c r="U289" i="13"/>
  <c r="L290" i="13"/>
  <c r="O290" i="13" s="1"/>
  <c r="M290" i="13"/>
  <c r="M288" i="13" s="1"/>
  <c r="P288" i="13" s="1"/>
  <c r="N290" i="13"/>
  <c r="N288" i="13" s="1"/>
  <c r="T290" i="13"/>
  <c r="U290" i="13"/>
  <c r="I292" i="13"/>
  <c r="I281" i="13" s="1"/>
  <c r="K281" i="13" s="1"/>
  <c r="I293" i="13"/>
  <c r="I280" i="13" s="1"/>
  <c r="J293" i="13"/>
  <c r="I295" i="13"/>
  <c r="K295" i="13" s="1"/>
  <c r="I296" i="13"/>
  <c r="K296" i="13" s="1"/>
  <c r="I298" i="13"/>
  <c r="K298" i="13" s="1"/>
  <c r="I299" i="13"/>
  <c r="K299" i="13" s="1"/>
  <c r="J302" i="13"/>
  <c r="L304" i="13"/>
  <c r="M304" i="13"/>
  <c r="N304" i="13"/>
  <c r="O304" i="13"/>
  <c r="Q304" i="13"/>
  <c r="R304" i="13"/>
  <c r="S304" i="13"/>
  <c r="U304" i="13"/>
  <c r="O307" i="13"/>
  <c r="P307" i="13"/>
  <c r="T307" i="13"/>
  <c r="U307" i="13"/>
  <c r="L308" i="13"/>
  <c r="M308" i="13"/>
  <c r="P308" i="13" s="1"/>
  <c r="N308" i="13"/>
  <c r="N306" i="13" s="1"/>
  <c r="Q308" i="13"/>
  <c r="Q305" i="13" s="1"/>
  <c r="R308" i="13"/>
  <c r="S308" i="13"/>
  <c r="Q309" i="13"/>
  <c r="R309" i="13"/>
  <c r="U309" i="13" s="1"/>
  <c r="S309" i="13"/>
  <c r="T309" i="13"/>
  <c r="O310" i="13"/>
  <c r="P310" i="13"/>
  <c r="T310" i="13"/>
  <c r="U310" i="13"/>
  <c r="L311" i="13"/>
  <c r="L309" i="13" s="1"/>
  <c r="O309" i="13" s="1"/>
  <c r="M311" i="13"/>
  <c r="M309" i="13" s="1"/>
  <c r="P309" i="13" s="1"/>
  <c r="N311" i="13"/>
  <c r="N309" i="13" s="1"/>
  <c r="T311" i="13"/>
  <c r="U311" i="13"/>
  <c r="I314" i="13"/>
  <c r="K314" i="13" s="1"/>
  <c r="J319" i="13"/>
  <c r="L321" i="13"/>
  <c r="M321" i="13"/>
  <c r="P321" i="13" s="1"/>
  <c r="N321" i="13"/>
  <c r="O321" i="13"/>
  <c r="Q321" i="13"/>
  <c r="R321" i="13"/>
  <c r="U321" i="13" s="1"/>
  <c r="S321" i="13"/>
  <c r="T321" i="13"/>
  <c r="Q322" i="13"/>
  <c r="T322" i="13" s="1"/>
  <c r="R322" i="13"/>
  <c r="S322" i="13"/>
  <c r="S320" i="13" s="1"/>
  <c r="U322" i="13"/>
  <c r="Q323" i="13"/>
  <c r="R323" i="13"/>
  <c r="U323" i="13" s="1"/>
  <c r="S323" i="13"/>
  <c r="T323" i="13"/>
  <c r="O324" i="13"/>
  <c r="P324" i="13"/>
  <c r="T324" i="13"/>
  <c r="U324" i="13"/>
  <c r="L325" i="13"/>
  <c r="M325" i="13"/>
  <c r="M323" i="13" s="1"/>
  <c r="P323" i="13" s="1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L326" i="13" s="1"/>
  <c r="O326" i="13" s="1"/>
  <c r="M328" i="13"/>
  <c r="P328" i="13" s="1"/>
  <c r="N328" i="13"/>
  <c r="N326" i="13" s="1"/>
  <c r="T328" i="13"/>
  <c r="U328" i="13"/>
  <c r="I330" i="13"/>
  <c r="K330" i="13" s="1"/>
  <c r="I332" i="13"/>
  <c r="L334" i="13"/>
  <c r="O334" i="13" s="1"/>
  <c r="M334" i="13"/>
  <c r="N334" i="13"/>
  <c r="Q334" i="13"/>
  <c r="T334" i="13" s="1"/>
  <c r="R334" i="13"/>
  <c r="S334" i="13"/>
  <c r="S333" i="13" s="1"/>
  <c r="Q335" i="13"/>
  <c r="T335" i="13" s="1"/>
  <c r="R335" i="13"/>
  <c r="S335" i="13"/>
  <c r="U335" i="13"/>
  <c r="Q336" i="13"/>
  <c r="T336" i="13" s="1"/>
  <c r="R336" i="13"/>
  <c r="S336" i="13"/>
  <c r="U336" i="13"/>
  <c r="O337" i="13"/>
  <c r="P337" i="13"/>
  <c r="T337" i="13"/>
  <c r="U337" i="13"/>
  <c r="L338" i="13"/>
  <c r="L336" i="13" s="1"/>
  <c r="M338" i="13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M341" i="13"/>
  <c r="M339" i="13" s="1"/>
  <c r="P339" i="13" s="1"/>
  <c r="N341" i="13"/>
  <c r="N339" i="13" s="1"/>
  <c r="T341" i="13"/>
  <c r="U341" i="13"/>
  <c r="J344" i="13"/>
  <c r="K344" i="13"/>
  <c r="I346" i="13"/>
  <c r="J346" i="13"/>
  <c r="J347" i="13"/>
  <c r="J348" i="13"/>
  <c r="J349" i="13"/>
  <c r="D350" i="13"/>
  <c r="J352" i="13"/>
  <c r="J353" i="13"/>
  <c r="J354" i="13"/>
  <c r="L357" i="13"/>
  <c r="O357" i="13" s="1"/>
  <c r="M357" i="13"/>
  <c r="N357" i="13"/>
  <c r="Q357" i="13"/>
  <c r="R357" i="13"/>
  <c r="S357" i="13"/>
  <c r="Q358" i="13"/>
  <c r="T358" i="13" s="1"/>
  <c r="R358" i="13"/>
  <c r="S358" i="13"/>
  <c r="U358" i="13"/>
  <c r="Q359" i="13"/>
  <c r="T359" i="13" s="1"/>
  <c r="R359" i="13"/>
  <c r="S359" i="13"/>
  <c r="U359" i="13"/>
  <c r="O360" i="13"/>
  <c r="P360" i="13"/>
  <c r="T360" i="13"/>
  <c r="U360" i="13"/>
  <c r="L361" i="13"/>
  <c r="L359" i="13" s="1"/>
  <c r="M361" i="13"/>
  <c r="N361" i="13"/>
  <c r="T361" i="13"/>
  <c r="U361" i="13"/>
  <c r="Q362" i="13"/>
  <c r="R362" i="13"/>
  <c r="U362" i="13" s="1"/>
  <c r="S362" i="13"/>
  <c r="T362" i="13"/>
  <c r="O363" i="13"/>
  <c r="P363" i="13"/>
  <c r="T363" i="13"/>
  <c r="U363" i="13"/>
  <c r="L364" i="13"/>
  <c r="O364" i="13" s="1"/>
  <c r="M364" i="13"/>
  <c r="M362" i="13" s="1"/>
  <c r="P362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J371" i="13"/>
  <c r="J365" i="13" s="1"/>
  <c r="J372" i="13"/>
  <c r="K372" i="13"/>
  <c r="D373" i="13"/>
  <c r="J374" i="13"/>
  <c r="L376" i="13"/>
  <c r="M376" i="13"/>
  <c r="P376" i="13" s="1"/>
  <c r="N376" i="13"/>
  <c r="O376" i="13"/>
  <c r="Q376" i="13"/>
  <c r="T376" i="13" s="1"/>
  <c r="R376" i="13"/>
  <c r="S376" i="13"/>
  <c r="U376" i="13"/>
  <c r="O379" i="13"/>
  <c r="P379" i="13"/>
  <c r="T379" i="13"/>
  <c r="U379" i="13"/>
  <c r="L380" i="13"/>
  <c r="L378" i="13" s="1"/>
  <c r="O378" i="13" s="1"/>
  <c r="M380" i="13"/>
  <c r="N380" i="13"/>
  <c r="N378" i="13" s="1"/>
  <c r="Q380" i="13"/>
  <c r="T380" i="13" s="1"/>
  <c r="R380" i="13"/>
  <c r="R377" i="13" s="1"/>
  <c r="R375" i="13" s="1"/>
  <c r="U375" i="13" s="1"/>
  <c r="S380" i="13"/>
  <c r="S377" i="13" s="1"/>
  <c r="Q381" i="13"/>
  <c r="T381" i="13" s="1"/>
  <c r="R381" i="13"/>
  <c r="S381" i="13"/>
  <c r="U381" i="13"/>
  <c r="O382" i="13"/>
  <c r="P382" i="13"/>
  <c r="T382" i="13"/>
  <c r="U382" i="13"/>
  <c r="L383" i="13"/>
  <c r="O383" i="13" s="1"/>
  <c r="M383" i="13"/>
  <c r="N383" i="13"/>
  <c r="N381" i="13" s="1"/>
  <c r="T383" i="13"/>
  <c r="U383" i="13"/>
  <c r="I385" i="13"/>
  <c r="I374" i="13" s="1"/>
  <c r="K374" i="13" s="1"/>
  <c r="I386" i="13"/>
  <c r="K386" i="13" s="1"/>
  <c r="K387" i="13"/>
  <c r="K388" i="13"/>
  <c r="I391" i="13"/>
  <c r="J391" i="13"/>
  <c r="K391" i="13"/>
  <c r="L393" i="13"/>
  <c r="M393" i="13"/>
  <c r="P393" i="13" s="1"/>
  <c r="N393" i="13"/>
  <c r="N392" i="13" s="1"/>
  <c r="O393" i="13"/>
  <c r="Q393" i="13"/>
  <c r="T393" i="13" s="1"/>
  <c r="R393" i="13"/>
  <c r="S393" i="13"/>
  <c r="U393" i="13"/>
  <c r="L394" i="13"/>
  <c r="O394" i="13" s="1"/>
  <c r="M394" i="13"/>
  <c r="P394" i="13" s="1"/>
  <c r="N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R397" i="13"/>
  <c r="S397" i="13"/>
  <c r="S394" i="13" s="1"/>
  <c r="L398" i="13"/>
  <c r="O398" i="13" s="1"/>
  <c r="M398" i="13"/>
  <c r="N398" i="13"/>
  <c r="P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P414" i="13" s="1"/>
  <c r="N414" i="13"/>
  <c r="Q414" i="13"/>
  <c r="T414" i="13" s="1"/>
  <c r="R414" i="13"/>
  <c r="U414" i="13" s="1"/>
  <c r="S414" i="13"/>
  <c r="O417" i="13"/>
  <c r="P417" i="13"/>
  <c r="T417" i="13"/>
  <c r="U417" i="13"/>
  <c r="L418" i="13"/>
  <c r="L416" i="13" s="1"/>
  <c r="O416" i="13" s="1"/>
  <c r="M418" i="13"/>
  <c r="P418" i="13" s="1"/>
  <c r="N418" i="13"/>
  <c r="N416" i="13" s="1"/>
  <c r="Q418" i="13"/>
  <c r="T418" i="13" s="1"/>
  <c r="R418" i="13"/>
  <c r="R415" i="13" s="1"/>
  <c r="S418" i="13"/>
  <c r="S415" i="13" s="1"/>
  <c r="Q419" i="13"/>
  <c r="T419" i="13" s="1"/>
  <c r="R419" i="13"/>
  <c r="S419" i="13"/>
  <c r="U419" i="13"/>
  <c r="O420" i="13"/>
  <c r="P420" i="13"/>
  <c r="T420" i="13"/>
  <c r="U420" i="13"/>
  <c r="L421" i="13"/>
  <c r="L419" i="13" s="1"/>
  <c r="O419" i="13" s="1"/>
  <c r="M421" i="13"/>
  <c r="P421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I441" i="13"/>
  <c r="K441" i="13" s="1"/>
  <c r="J441" i="13"/>
  <c r="J446" i="13"/>
  <c r="J440" i="13" s="1"/>
  <c r="J423" i="13" s="1"/>
  <c r="J412" i="13" s="1"/>
  <c r="J447" i="13"/>
  <c r="I457" i="13"/>
  <c r="I458" i="13"/>
  <c r="K458" i="13" s="1"/>
  <c r="J459" i="13"/>
  <c r="J457" i="13" s="1"/>
  <c r="J456" i="13" s="1"/>
  <c r="J460" i="13"/>
  <c r="J467" i="13"/>
  <c r="J468" i="13"/>
  <c r="J458" i="13" s="1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M494" i="13"/>
  <c r="N494" i="13"/>
  <c r="O494" i="13"/>
  <c r="P494" i="13"/>
  <c r="Q494" i="13"/>
  <c r="T494" i="13" s="1"/>
  <c r="R494" i="13"/>
  <c r="S494" i="13"/>
  <c r="U494" i="13"/>
  <c r="O497" i="13"/>
  <c r="P497" i="13"/>
  <c r="T497" i="13"/>
  <c r="U497" i="13"/>
  <c r="L498" i="13"/>
  <c r="L496" i="13" s="1"/>
  <c r="O496" i="13" s="1"/>
  <c r="M498" i="13"/>
  <c r="P498" i="13" s="1"/>
  <c r="N498" i="13"/>
  <c r="Q498" i="13"/>
  <c r="T498" i="13" s="1"/>
  <c r="R498" i="13"/>
  <c r="R496" i="13" s="1"/>
  <c r="U496" i="13" s="1"/>
  <c r="S498" i="13"/>
  <c r="S495" i="13" s="1"/>
  <c r="Q499" i="13"/>
  <c r="T499" i="13" s="1"/>
  <c r="R499" i="13"/>
  <c r="S499" i="13"/>
  <c r="U499" i="13"/>
  <c r="O500" i="13"/>
  <c r="P500" i="13"/>
  <c r="T500" i="13"/>
  <c r="U500" i="13"/>
  <c r="L501" i="13"/>
  <c r="L499" i="13" s="1"/>
  <c r="O499" i="13" s="1"/>
  <c r="M501" i="13"/>
  <c r="P501" i="13" s="1"/>
  <c r="N501" i="13"/>
  <c r="N499" i="13" s="1"/>
  <c r="T501" i="13"/>
  <c r="U501" i="13"/>
  <c r="I503" i="13"/>
  <c r="I492" i="13" s="1"/>
  <c r="K492" i="13" s="1"/>
  <c r="I504" i="13"/>
  <c r="K504" i="13" s="1"/>
  <c r="I505" i="13"/>
  <c r="I506" i="13"/>
  <c r="K506" i="13" s="1"/>
  <c r="I507" i="13"/>
  <c r="K507" i="13" s="1"/>
  <c r="K508" i="13"/>
  <c r="I509" i="13"/>
  <c r="K509" i="13" s="1"/>
  <c r="I512" i="13"/>
  <c r="J512" i="13"/>
  <c r="K512" i="13"/>
  <c r="S513" i="13"/>
  <c r="L514" i="13"/>
  <c r="M514" i="13"/>
  <c r="N514" i="13"/>
  <c r="O514" i="13"/>
  <c r="Q514" i="13"/>
  <c r="T514" i="13" s="1"/>
  <c r="R514" i="13"/>
  <c r="U514" i="13" s="1"/>
  <c r="S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M518" i="13"/>
  <c r="N518" i="13"/>
  <c r="N516" i="13" s="1"/>
  <c r="T518" i="13"/>
  <c r="U518" i="13"/>
  <c r="Q519" i="13"/>
  <c r="R519" i="13"/>
  <c r="S519" i="13"/>
  <c r="T519" i="13"/>
  <c r="U519" i="13"/>
  <c r="O520" i="13"/>
  <c r="P520" i="13"/>
  <c r="T520" i="13"/>
  <c r="U520" i="13"/>
  <c r="L521" i="13"/>
  <c r="O521" i="13" s="1"/>
  <c r="M521" i="13"/>
  <c r="M519" i="13" s="1"/>
  <c r="P519" i="13" s="1"/>
  <c r="N521" i="13"/>
  <c r="N519" i="13" s="1"/>
  <c r="T521" i="13"/>
  <c r="U521" i="13"/>
  <c r="K523" i="13"/>
  <c r="K524" i="13"/>
  <c r="I533" i="13"/>
  <c r="K533" i="13" s="1"/>
  <c r="J533" i="13"/>
  <c r="L535" i="13"/>
  <c r="M535" i="13"/>
  <c r="N535" i="13"/>
  <c r="O535" i="13"/>
  <c r="P535" i="13"/>
  <c r="Q535" i="13"/>
  <c r="R535" i="13"/>
  <c r="S535" i="13"/>
  <c r="S534" i="13" s="1"/>
  <c r="U535" i="13"/>
  <c r="Q536" i="13"/>
  <c r="T536" i="13" s="1"/>
  <c r="R536" i="13"/>
  <c r="U536" i="13" s="1"/>
  <c r="S536" i="13"/>
  <c r="Q537" i="13"/>
  <c r="R537" i="13"/>
  <c r="S537" i="13"/>
  <c r="T537" i="13"/>
  <c r="U537" i="13"/>
  <c r="O538" i="13"/>
  <c r="P538" i="13"/>
  <c r="T538" i="13"/>
  <c r="U538" i="13"/>
  <c r="L539" i="13"/>
  <c r="O539" i="13" s="1"/>
  <c r="M539" i="13"/>
  <c r="N539" i="13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L540" i="13" s="1"/>
  <c r="O540" i="13" s="1"/>
  <c r="M542" i="13"/>
  <c r="P542" i="13" s="1"/>
  <c r="N542" i="13"/>
  <c r="N540" i="13" s="1"/>
  <c r="T542" i="13"/>
  <c r="U542" i="13"/>
  <c r="I554" i="13"/>
  <c r="K554" i="13" s="1"/>
  <c r="J554" i="13"/>
  <c r="L556" i="13"/>
  <c r="M556" i="13"/>
  <c r="N556" i="13"/>
  <c r="Q556" i="13"/>
  <c r="T556" i="13" s="1"/>
  <c r="R556" i="13"/>
  <c r="U556" i="13" s="1"/>
  <c r="S556" i="13"/>
  <c r="Q557" i="13"/>
  <c r="T557" i="13" s="1"/>
  <c r="R557" i="13"/>
  <c r="U557" i="13" s="1"/>
  <c r="S557" i="13"/>
  <c r="S555" i="13" s="1"/>
  <c r="Q558" i="13"/>
  <c r="T558" i="13" s="1"/>
  <c r="R558" i="13"/>
  <c r="U558" i="13" s="1"/>
  <c r="S558" i="13"/>
  <c r="O559" i="13"/>
  <c r="P559" i="13"/>
  <c r="T559" i="13"/>
  <c r="U559" i="13"/>
  <c r="L560" i="13"/>
  <c r="M560" i="13"/>
  <c r="N560" i="13"/>
  <c r="N558" i="13" s="1"/>
  <c r="T560" i="13"/>
  <c r="U560" i="13"/>
  <c r="Q561" i="13"/>
  <c r="T561" i="13" s="1"/>
  <c r="R561" i="13"/>
  <c r="U561" i="13" s="1"/>
  <c r="S561" i="13"/>
  <c r="O562" i="13"/>
  <c r="P562" i="13"/>
  <c r="T562" i="13"/>
  <c r="U562" i="13"/>
  <c r="L563" i="13"/>
  <c r="L561" i="13" s="1"/>
  <c r="M563" i="13"/>
  <c r="M561" i="13" s="1"/>
  <c r="N563" i="13"/>
  <c r="T563" i="13"/>
  <c r="U563" i="13"/>
  <c r="K565" i="13"/>
  <c r="I575" i="13"/>
  <c r="J575" i="13"/>
  <c r="L577" i="13"/>
  <c r="O577" i="13" s="1"/>
  <c r="M577" i="13"/>
  <c r="N577" i="13"/>
  <c r="Q577" i="13"/>
  <c r="R577" i="13"/>
  <c r="U577" i="13" s="1"/>
  <c r="S577" i="13"/>
  <c r="Q578" i="13"/>
  <c r="R578" i="13"/>
  <c r="S578" i="13"/>
  <c r="T578" i="13"/>
  <c r="U578" i="13"/>
  <c r="Q579" i="13"/>
  <c r="T579" i="13" s="1"/>
  <c r="R579" i="13"/>
  <c r="U579" i="13" s="1"/>
  <c r="S579" i="13"/>
  <c r="O580" i="13"/>
  <c r="P580" i="13"/>
  <c r="T580" i="13"/>
  <c r="U580" i="13"/>
  <c r="L581" i="13"/>
  <c r="M581" i="13"/>
  <c r="N581" i="13"/>
  <c r="T581" i="13"/>
  <c r="U581" i="13"/>
  <c r="Q582" i="13"/>
  <c r="R582" i="13"/>
  <c r="U582" i="13" s="1"/>
  <c r="S582" i="13"/>
  <c r="T582" i="13"/>
  <c r="O583" i="13"/>
  <c r="P583" i="13"/>
  <c r="T583" i="13"/>
  <c r="U583" i="13"/>
  <c r="L584" i="13"/>
  <c r="O584" i="13" s="1"/>
  <c r="M584" i="13"/>
  <c r="N584" i="13"/>
  <c r="N582" i="13" s="1"/>
  <c r="T584" i="13"/>
  <c r="U584" i="13"/>
  <c r="K586" i="13"/>
  <c r="K587" i="13"/>
  <c r="L600" i="13"/>
  <c r="M600" i="13"/>
  <c r="N600" i="13"/>
  <c r="O600" i="13"/>
  <c r="P600" i="13"/>
  <c r="Q600" i="13"/>
  <c r="R600" i="13"/>
  <c r="S600" i="13"/>
  <c r="U600" i="13"/>
  <c r="O603" i="13"/>
  <c r="P603" i="13"/>
  <c r="T603" i="13"/>
  <c r="U603" i="13"/>
  <c r="L604" i="13"/>
  <c r="L602" i="13" s="1"/>
  <c r="M604" i="13"/>
  <c r="M602" i="13" s="1"/>
  <c r="N604" i="13"/>
  <c r="N602" i="13" s="1"/>
  <c r="Q604" i="13"/>
  <c r="R604" i="13"/>
  <c r="S604" i="13"/>
  <c r="S602" i="13" s="1"/>
  <c r="O606" i="13"/>
  <c r="P606" i="13"/>
  <c r="T606" i="13"/>
  <c r="U606" i="13"/>
  <c r="L607" i="13"/>
  <c r="M607" i="13"/>
  <c r="P607" i="13" s="1"/>
  <c r="N607" i="13"/>
  <c r="N605" i="13" s="1"/>
  <c r="Q607" i="13"/>
  <c r="R607" i="13"/>
  <c r="U607" i="13" s="1"/>
  <c r="S607" i="13"/>
  <c r="S605" i="13" s="1"/>
  <c r="L617" i="13"/>
  <c r="M617" i="13"/>
  <c r="P617" i="13" s="1"/>
  <c r="N617" i="13"/>
  <c r="Q617" i="13"/>
  <c r="T617" i="13" s="1"/>
  <c r="R617" i="13"/>
  <c r="S617" i="13"/>
  <c r="L618" i="13"/>
  <c r="O618" i="13" s="1"/>
  <c r="M618" i="13"/>
  <c r="P618" i="13" s="1"/>
  <c r="N618" i="13"/>
  <c r="L619" i="13"/>
  <c r="O619" i="13" s="1"/>
  <c r="M619" i="13"/>
  <c r="N619" i="13"/>
  <c r="P619" i="13"/>
  <c r="O620" i="13"/>
  <c r="P620" i="13"/>
  <c r="T620" i="13"/>
  <c r="U620" i="13"/>
  <c r="O621" i="13"/>
  <c r="P621" i="13"/>
  <c r="Q621" i="13"/>
  <c r="R621" i="13"/>
  <c r="R618" i="13" s="1"/>
  <c r="S621" i="13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1" i="13" s="1"/>
  <c r="J626" i="13"/>
  <c r="J615" i="13" s="1"/>
  <c r="I627" i="13"/>
  <c r="K627" i="13" s="1"/>
  <c r="I628" i="13"/>
  <c r="K628" i="13" s="1"/>
  <c r="J632" i="13"/>
  <c r="I635" i="13"/>
  <c r="K635" i="13" s="1"/>
  <c r="J636" i="13"/>
  <c r="J635" i="13" s="1"/>
  <c r="L642" i="13"/>
  <c r="O642" i="13"/>
  <c r="L643" i="13"/>
  <c r="O643" i="13" s="1"/>
  <c r="M643" i="13"/>
  <c r="N643" i="13"/>
  <c r="Q643" i="13"/>
  <c r="R643" i="13"/>
  <c r="U643" i="13" s="1"/>
  <c r="S643" i="13"/>
  <c r="L644" i="13"/>
  <c r="M644" i="13"/>
  <c r="P644" i="13" s="1"/>
  <c r="N644" i="13"/>
  <c r="O644" i="13"/>
  <c r="L645" i="13"/>
  <c r="O645" i="13" s="1"/>
  <c r="M645" i="13"/>
  <c r="N645" i="13"/>
  <c r="P645" i="13"/>
  <c r="O646" i="13"/>
  <c r="P646" i="13"/>
  <c r="T646" i="13"/>
  <c r="U646" i="13"/>
  <c r="O647" i="13"/>
  <c r="P647" i="13"/>
  <c r="Q647" i="13"/>
  <c r="Q644" i="13" s="1"/>
  <c r="T644" i="13" s="1"/>
  <c r="R647" i="13"/>
  <c r="R644" i="13" s="1"/>
  <c r="S647" i="13"/>
  <c r="S645" i="13" s="1"/>
  <c r="L648" i="13"/>
  <c r="O648" i="13" s="1"/>
  <c r="M648" i="13"/>
  <c r="P648" i="13" s="1"/>
  <c r="N648" i="13"/>
  <c r="Q648" i="13"/>
  <c r="R648" i="13"/>
  <c r="U648" i="13" s="1"/>
  <c r="S648" i="13"/>
  <c r="T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0" i="13"/>
  <c r="O690" i="13" s="1"/>
  <c r="L691" i="13"/>
  <c r="O691" i="13" s="1"/>
  <c r="M691" i="13"/>
  <c r="N691" i="13"/>
  <c r="Q691" i="13"/>
  <c r="R691" i="13"/>
  <c r="U691" i="13" s="1"/>
  <c r="S691" i="13"/>
  <c r="L692" i="13"/>
  <c r="M692" i="13"/>
  <c r="P692" i="13" s="1"/>
  <c r="N692" i="13"/>
  <c r="O692" i="13"/>
  <c r="L693" i="13"/>
  <c r="O693" i="13" s="1"/>
  <c r="M693" i="13"/>
  <c r="N693" i="13"/>
  <c r="P693" i="13"/>
  <c r="O694" i="13"/>
  <c r="P694" i="13"/>
  <c r="T694" i="13"/>
  <c r="U694" i="13"/>
  <c r="O695" i="13"/>
  <c r="P695" i="13"/>
  <c r="Q695" i="13"/>
  <c r="Q692" i="13" s="1"/>
  <c r="R695" i="13"/>
  <c r="R692" i="13" s="1"/>
  <c r="S695" i="13"/>
  <c r="S693" i="13" s="1"/>
  <c r="L696" i="13"/>
  <c r="O696" i="13" s="1"/>
  <c r="M696" i="13"/>
  <c r="P696" i="13" s="1"/>
  <c r="N696" i="13"/>
  <c r="Q696" i="13"/>
  <c r="R696" i="13"/>
  <c r="U696" i="13" s="1"/>
  <c r="S696" i="13"/>
  <c r="T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K707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M714" i="13" s="1"/>
  <c r="P714" i="13" s="1"/>
  <c r="N715" i="13"/>
  <c r="N714" i="13" s="1"/>
  <c r="O715" i="13"/>
  <c r="Q715" i="13"/>
  <c r="R715" i="13"/>
  <c r="R714" i="13" s="1"/>
  <c r="U714" i="13" s="1"/>
  <c r="S715" i="13"/>
  <c r="U715" i="13"/>
  <c r="L716" i="13"/>
  <c r="O716" i="13" s="1"/>
  <c r="M716" i="13"/>
  <c r="P716" i="13" s="1"/>
  <c r="N716" i="13"/>
  <c r="Q716" i="13"/>
  <c r="T716" i="13" s="1"/>
  <c r="R716" i="13"/>
  <c r="U716" i="13" s="1"/>
  <c r="S716" i="13"/>
  <c r="S714" i="13" s="1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R720" i="13"/>
  <c r="U720" i="13" s="1"/>
  <c r="S720" i="13"/>
  <c r="T720" i="13"/>
  <c r="O721" i="13"/>
  <c r="P721" i="13"/>
  <c r="T721" i="13"/>
  <c r="U721" i="13"/>
  <c r="O722" i="13"/>
  <c r="P722" i="13"/>
  <c r="T722" i="13"/>
  <c r="U722" i="13"/>
  <c r="I726" i="13"/>
  <c r="J726" i="13"/>
  <c r="I727" i="13"/>
  <c r="K727" i="13" s="1"/>
  <c r="J727" i="13"/>
  <c r="L729" i="13"/>
  <c r="L728" i="13" s="1"/>
  <c r="O728" i="13" s="1"/>
  <c r="M729" i="13"/>
  <c r="N729" i="13"/>
  <c r="N728" i="13" s="1"/>
  <c r="Q729" i="13"/>
  <c r="R729" i="13"/>
  <c r="S729" i="13"/>
  <c r="U729" i="13"/>
  <c r="L730" i="13"/>
  <c r="O730" i="13" s="1"/>
  <c r="M730" i="13"/>
  <c r="P730" i="13" s="1"/>
  <c r="N730" i="13"/>
  <c r="L731" i="13"/>
  <c r="M731" i="13"/>
  <c r="P731" i="13" s="1"/>
  <c r="N731" i="13"/>
  <c r="O731" i="13"/>
  <c r="O732" i="13"/>
  <c r="P732" i="13"/>
  <c r="T732" i="13"/>
  <c r="U732" i="13"/>
  <c r="O733" i="13"/>
  <c r="P733" i="13"/>
  <c r="Q733" i="13"/>
  <c r="Q731" i="13" s="1"/>
  <c r="R733" i="13"/>
  <c r="R730" i="13" s="1"/>
  <c r="S733" i="13"/>
  <c r="S731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N760" i="13"/>
  <c r="L761" i="13"/>
  <c r="M761" i="13"/>
  <c r="N761" i="13"/>
  <c r="P761" i="13"/>
  <c r="Q761" i="13"/>
  <c r="T761" i="13" s="1"/>
  <c r="R761" i="13"/>
  <c r="S761" i="13"/>
  <c r="L762" i="13"/>
  <c r="O762" i="13" s="1"/>
  <c r="M762" i="13"/>
  <c r="P762" i="13" s="1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2" i="13" s="1"/>
  <c r="R765" i="13"/>
  <c r="R763" i="13" s="1"/>
  <c r="S765" i="13"/>
  <c r="S763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I759" i="13" s="1"/>
  <c r="K759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M22" i="12"/>
  <c r="N22" i="12"/>
  <c r="Q22" i="12"/>
  <c r="R22" i="12"/>
  <c r="S22" i="12"/>
  <c r="L25" i="12"/>
  <c r="L19" i="12" s="1"/>
  <c r="M25" i="12"/>
  <c r="N25" i="12"/>
  <c r="Q25" i="12"/>
  <c r="T25" i="12" s="1"/>
  <c r="R25" i="12"/>
  <c r="S25" i="12"/>
  <c r="L45" i="12"/>
  <c r="O45" i="12" s="1"/>
  <c r="M45" i="12"/>
  <c r="N45" i="12"/>
  <c r="Q45" i="12"/>
  <c r="Q44" i="12" s="1"/>
  <c r="T44" i="12" s="1"/>
  <c r="R45" i="12"/>
  <c r="U45" i="12" s="1"/>
  <c r="S45" i="12"/>
  <c r="T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M49" i="12"/>
  <c r="N49" i="12"/>
  <c r="N47" i="12" s="1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N52" i="12"/>
  <c r="N50" i="12" s="1"/>
  <c r="T52" i="12"/>
  <c r="U52" i="12"/>
  <c r="L60" i="12"/>
  <c r="O60" i="12" s="1"/>
  <c r="M60" i="12"/>
  <c r="N60" i="12"/>
  <c r="Q60" i="12"/>
  <c r="Q59" i="12" s="1"/>
  <c r="T59" i="12" s="1"/>
  <c r="R60" i="12"/>
  <c r="R59" i="12" s="1"/>
  <c r="U59" i="12" s="1"/>
  <c r="S60" i="12"/>
  <c r="S59" i="12" s="1"/>
  <c r="T60" i="12"/>
  <c r="U60" i="12"/>
  <c r="Q61" i="12"/>
  <c r="T61" i="12" s="1"/>
  <c r="R61" i="12"/>
  <c r="S61" i="12"/>
  <c r="U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N64" i="12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M67" i="12"/>
  <c r="N67" i="12"/>
  <c r="N65" i="12" s="1"/>
  <c r="T67" i="12"/>
  <c r="U67" i="12"/>
  <c r="L73" i="12"/>
  <c r="M73" i="12"/>
  <c r="N73" i="12"/>
  <c r="O73" i="12"/>
  <c r="Q73" i="12"/>
  <c r="R73" i="12"/>
  <c r="S73" i="12"/>
  <c r="U73" i="12"/>
  <c r="O76" i="12"/>
  <c r="P76" i="12"/>
  <c r="T76" i="12"/>
  <c r="U76" i="12"/>
  <c r="L77" i="12"/>
  <c r="M77" i="12"/>
  <c r="N77" i="12"/>
  <c r="Q77" i="12"/>
  <c r="R77" i="12"/>
  <c r="S77" i="12"/>
  <c r="O79" i="12"/>
  <c r="P79" i="12"/>
  <c r="T79" i="12"/>
  <c r="U79" i="12"/>
  <c r="L80" i="12"/>
  <c r="M80" i="12"/>
  <c r="M78" i="12" s="1"/>
  <c r="P78" i="12" s="1"/>
  <c r="N80" i="12"/>
  <c r="N78" i="12" s="1"/>
  <c r="Q80" i="12"/>
  <c r="Q78" i="12" s="1"/>
  <c r="T78" i="12" s="1"/>
  <c r="R80" i="12"/>
  <c r="U80" i="12" s="1"/>
  <c r="S80" i="12"/>
  <c r="S78" i="12" s="1"/>
  <c r="J82" i="12"/>
  <c r="J70" i="12" s="1"/>
  <c r="J83" i="12"/>
  <c r="J71" i="12" s="1"/>
  <c r="I84" i="12"/>
  <c r="I85" i="12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N95" i="12"/>
  <c r="Q95" i="12"/>
  <c r="R95" i="12"/>
  <c r="S95" i="12"/>
  <c r="O98" i="12"/>
  <c r="P98" i="12"/>
  <c r="T98" i="12"/>
  <c r="U98" i="12"/>
  <c r="L99" i="12"/>
  <c r="M99" i="12"/>
  <c r="N99" i="12"/>
  <c r="N97" i="12" s="1"/>
  <c r="Q99" i="12"/>
  <c r="R99" i="12"/>
  <c r="R97" i="12" s="1"/>
  <c r="U97" i="12" s="1"/>
  <c r="S99" i="12"/>
  <c r="Q100" i="12"/>
  <c r="T100" i="12" s="1"/>
  <c r="R100" i="12"/>
  <c r="U100" i="12" s="1"/>
  <c r="S100" i="12"/>
  <c r="O101" i="12"/>
  <c r="P101" i="12"/>
  <c r="T101" i="12"/>
  <c r="U101" i="12"/>
  <c r="L102" i="12"/>
  <c r="L100" i="12" s="1"/>
  <c r="O100" i="12" s="1"/>
  <c r="M102" i="12"/>
  <c r="N102" i="12"/>
  <c r="N100" i="12" s="1"/>
  <c r="T102" i="12"/>
  <c r="U102" i="12"/>
  <c r="I108" i="12"/>
  <c r="I92" i="12" s="1"/>
  <c r="K92" i="12" s="1"/>
  <c r="I109" i="12"/>
  <c r="K109" i="12" s="1"/>
  <c r="I114" i="12"/>
  <c r="K114" i="12" s="1"/>
  <c r="J116" i="12"/>
  <c r="L118" i="12"/>
  <c r="M118" i="12"/>
  <c r="N118" i="12"/>
  <c r="Q118" i="12"/>
  <c r="R118" i="12"/>
  <c r="S118" i="12"/>
  <c r="O121" i="12"/>
  <c r="P121" i="12"/>
  <c r="T121" i="12"/>
  <c r="U121" i="12"/>
  <c r="L122" i="12"/>
  <c r="M122" i="12"/>
  <c r="N122" i="12"/>
  <c r="N120" i="12" s="1"/>
  <c r="Q122" i="12"/>
  <c r="Q120" i="12" s="1"/>
  <c r="R122" i="12"/>
  <c r="R120" i="12" s="1"/>
  <c r="S122" i="12"/>
  <c r="O124" i="12"/>
  <c r="P124" i="12"/>
  <c r="T124" i="12"/>
  <c r="U124" i="12"/>
  <c r="L125" i="12"/>
  <c r="M125" i="12"/>
  <c r="N125" i="12"/>
  <c r="N123" i="12" s="1"/>
  <c r="Q125" i="12"/>
  <c r="Q123" i="12" s="1"/>
  <c r="T123" i="12" s="1"/>
  <c r="R125" i="12"/>
  <c r="U125" i="12" s="1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N140" i="12"/>
  <c r="Q140" i="12"/>
  <c r="R140" i="12"/>
  <c r="S140" i="12"/>
  <c r="T140" i="12"/>
  <c r="U140" i="12"/>
  <c r="O143" i="12"/>
  <c r="P143" i="12"/>
  <c r="T143" i="12"/>
  <c r="U143" i="12"/>
  <c r="L144" i="12"/>
  <c r="M144" i="12"/>
  <c r="N144" i="12"/>
  <c r="Q144" i="12"/>
  <c r="R144" i="12"/>
  <c r="R142" i="12" s="1"/>
  <c r="S144" i="12"/>
  <c r="S142" i="12" s="1"/>
  <c r="O146" i="12"/>
  <c r="P146" i="12"/>
  <c r="T146" i="12"/>
  <c r="U146" i="12"/>
  <c r="L147" i="12"/>
  <c r="M147" i="12"/>
  <c r="M145" i="12" s="1"/>
  <c r="P145" i="12" s="1"/>
  <c r="N147" i="12"/>
  <c r="N145" i="12" s="1"/>
  <c r="Q147" i="12"/>
  <c r="Q145" i="12" s="1"/>
  <c r="R147" i="12"/>
  <c r="S147" i="12"/>
  <c r="I150" i="12"/>
  <c r="K150" i="12" s="1"/>
  <c r="I151" i="12"/>
  <c r="K151" i="12" s="1"/>
  <c r="I152" i="12"/>
  <c r="I153" i="12"/>
  <c r="I154" i="12"/>
  <c r="J156" i="12"/>
  <c r="L158" i="12"/>
  <c r="M158" i="12"/>
  <c r="N158" i="12"/>
  <c r="O158" i="12"/>
  <c r="Q158" i="12"/>
  <c r="R158" i="12"/>
  <c r="S158" i="12"/>
  <c r="T158" i="12"/>
  <c r="U158" i="12"/>
  <c r="O161" i="12"/>
  <c r="P161" i="12"/>
  <c r="T161" i="12"/>
  <c r="U161" i="12"/>
  <c r="L162" i="12"/>
  <c r="M162" i="12"/>
  <c r="M160" i="12" s="1"/>
  <c r="N162" i="12"/>
  <c r="Q162" i="12"/>
  <c r="Q160" i="12" s="1"/>
  <c r="T160" i="12" s="1"/>
  <c r="R162" i="12"/>
  <c r="R159" i="12" s="1"/>
  <c r="U159" i="12" s="1"/>
  <c r="S162" i="12"/>
  <c r="S159" i="12" s="1"/>
  <c r="S157" i="12" s="1"/>
  <c r="Q163" i="12"/>
  <c r="T163" i="12" s="1"/>
  <c r="R163" i="12"/>
  <c r="U163" i="12" s="1"/>
  <c r="S163" i="12"/>
  <c r="O164" i="12"/>
  <c r="P164" i="12"/>
  <c r="T164" i="12"/>
  <c r="U164" i="12"/>
  <c r="L165" i="12"/>
  <c r="M165" i="12"/>
  <c r="N165" i="12"/>
  <c r="N163" i="12" s="1"/>
  <c r="T165" i="12"/>
  <c r="U165" i="12"/>
  <c r="I167" i="12"/>
  <c r="K167" i="12" s="1"/>
  <c r="I168" i="12"/>
  <c r="K168" i="12" s="1"/>
  <c r="I169" i="12"/>
  <c r="J172" i="12"/>
  <c r="L174" i="12"/>
  <c r="M174" i="12"/>
  <c r="P174" i="12" s="1"/>
  <c r="N174" i="12"/>
  <c r="O174" i="12"/>
  <c r="Q174" i="12"/>
  <c r="R174" i="12"/>
  <c r="U174" i="12" s="1"/>
  <c r="S174" i="12"/>
  <c r="T174" i="12"/>
  <c r="O177" i="12"/>
  <c r="P177" i="12"/>
  <c r="T177" i="12"/>
  <c r="U177" i="12"/>
  <c r="L178" i="12"/>
  <c r="M178" i="12"/>
  <c r="N178" i="12"/>
  <c r="Q178" i="12"/>
  <c r="Q176" i="12" s="1"/>
  <c r="T176" i="12" s="1"/>
  <c r="R178" i="12"/>
  <c r="S178" i="12"/>
  <c r="S175" i="12" s="1"/>
  <c r="Q179" i="12"/>
  <c r="T179" i="12" s="1"/>
  <c r="R179" i="12"/>
  <c r="U179" i="12" s="1"/>
  <c r="S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K183" i="12" s="1"/>
  <c r="K184" i="12"/>
  <c r="L187" i="12"/>
  <c r="M187" i="12"/>
  <c r="N187" i="12"/>
  <c r="Q187" i="12"/>
  <c r="R187" i="12"/>
  <c r="S187" i="12"/>
  <c r="O190" i="12"/>
  <c r="P190" i="12"/>
  <c r="T190" i="12"/>
  <c r="U190" i="12"/>
  <c r="L191" i="12"/>
  <c r="M191" i="12"/>
  <c r="N191" i="12"/>
  <c r="Q191" i="12"/>
  <c r="Q189" i="12" s="1"/>
  <c r="R191" i="12"/>
  <c r="R189" i="12" s="1"/>
  <c r="S191" i="12"/>
  <c r="O193" i="12"/>
  <c r="P193" i="12"/>
  <c r="T193" i="12"/>
  <c r="U193" i="12"/>
  <c r="L194" i="12"/>
  <c r="L192" i="12" s="1"/>
  <c r="O192" i="12" s="1"/>
  <c r="M194" i="12"/>
  <c r="N194" i="12"/>
  <c r="N192" i="12" s="1"/>
  <c r="Q194" i="12"/>
  <c r="Q192" i="12" s="1"/>
  <c r="T192" i="12" s="1"/>
  <c r="R194" i="12"/>
  <c r="S194" i="12"/>
  <c r="S192" i="12" s="1"/>
  <c r="J195" i="12"/>
  <c r="L196" i="12"/>
  <c r="O196" i="12" s="1"/>
  <c r="P196" i="12"/>
  <c r="I198" i="12"/>
  <c r="I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L207" i="12"/>
  <c r="I209" i="12"/>
  <c r="K209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J231" i="12"/>
  <c r="J185" i="12" s="1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I242" i="12" s="1"/>
  <c r="K251" i="12"/>
  <c r="K252" i="12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O267" i="12" s="1"/>
  <c r="M267" i="12"/>
  <c r="N267" i="12"/>
  <c r="P267" i="12"/>
  <c r="Q267" i="12"/>
  <c r="R267" i="12"/>
  <c r="U267" i="12" s="1"/>
  <c r="S267" i="12"/>
  <c r="O270" i="12"/>
  <c r="P270" i="12"/>
  <c r="T270" i="12"/>
  <c r="U270" i="12"/>
  <c r="L271" i="12"/>
  <c r="L269" i="12" s="1"/>
  <c r="M271" i="12"/>
  <c r="M269" i="12" s="1"/>
  <c r="N271" i="12"/>
  <c r="Q271" i="12"/>
  <c r="R271" i="12"/>
  <c r="S271" i="12"/>
  <c r="Q272" i="12"/>
  <c r="R272" i="12"/>
  <c r="U272" i="12" s="1"/>
  <c r="S272" i="12"/>
  <c r="T272" i="12"/>
  <c r="O273" i="12"/>
  <c r="P273" i="12"/>
  <c r="T273" i="12"/>
  <c r="U273" i="12"/>
  <c r="L274" i="12"/>
  <c r="O274" i="12" s="1"/>
  <c r="M274" i="12"/>
  <c r="N274" i="12"/>
  <c r="N272" i="12" s="1"/>
  <c r="T274" i="12"/>
  <c r="U274" i="12"/>
  <c r="I276" i="12"/>
  <c r="J281" i="12"/>
  <c r="L283" i="12"/>
  <c r="M283" i="12"/>
  <c r="P283" i="12" s="1"/>
  <c r="N283" i="12"/>
  <c r="Q283" i="12"/>
  <c r="R283" i="12"/>
  <c r="S283" i="12"/>
  <c r="Q284" i="12"/>
  <c r="T284" i="12" s="1"/>
  <c r="R284" i="12"/>
  <c r="U284" i="12" s="1"/>
  <c r="S284" i="12"/>
  <c r="S282" i="12" s="1"/>
  <c r="Q285" i="12"/>
  <c r="T285" i="12" s="1"/>
  <c r="R285" i="12"/>
  <c r="S285" i="12"/>
  <c r="U285" i="12"/>
  <c r="O286" i="12"/>
  <c r="P286" i="12"/>
  <c r="T286" i="12"/>
  <c r="U286" i="12"/>
  <c r="L287" i="12"/>
  <c r="M287" i="12"/>
  <c r="N287" i="12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O290" i="12" s="1"/>
  <c r="M290" i="12"/>
  <c r="P290" i="12" s="1"/>
  <c r="N290" i="12"/>
  <c r="N288" i="12" s="1"/>
  <c r="T290" i="12"/>
  <c r="U290" i="12"/>
  <c r="I292" i="12"/>
  <c r="I281" i="12" s="1"/>
  <c r="I293" i="12"/>
  <c r="I280" i="12" s="1"/>
  <c r="J293" i="12"/>
  <c r="J280" i="12" s="1"/>
  <c r="I295" i="12"/>
  <c r="K295" i="12" s="1"/>
  <c r="I296" i="12"/>
  <c r="K296" i="12" s="1"/>
  <c r="I298" i="12"/>
  <c r="K298" i="12" s="1"/>
  <c r="I299" i="12"/>
  <c r="K299" i="12" s="1"/>
  <c r="J302" i="12"/>
  <c r="L304" i="12"/>
  <c r="M304" i="12"/>
  <c r="N304" i="12"/>
  <c r="Q304" i="12"/>
  <c r="T304" i="12" s="1"/>
  <c r="R304" i="12"/>
  <c r="U304" i="12" s="1"/>
  <c r="S304" i="12"/>
  <c r="O307" i="12"/>
  <c r="P307" i="12"/>
  <c r="T307" i="12"/>
  <c r="U307" i="12"/>
  <c r="L308" i="12"/>
  <c r="M308" i="12"/>
  <c r="M306" i="12" s="1"/>
  <c r="P306" i="12" s="1"/>
  <c r="N308" i="12"/>
  <c r="N306" i="12" s="1"/>
  <c r="Q308" i="12"/>
  <c r="Q305" i="12" s="1"/>
  <c r="R308" i="12"/>
  <c r="S308" i="12"/>
  <c r="S306" i="12" s="1"/>
  <c r="Q309" i="12"/>
  <c r="T309" i="12" s="1"/>
  <c r="R309" i="12"/>
  <c r="U309" i="12" s="1"/>
  <c r="S309" i="12"/>
  <c r="O310" i="12"/>
  <c r="P310" i="12"/>
  <c r="T310" i="12"/>
  <c r="U310" i="12"/>
  <c r="L311" i="12"/>
  <c r="M311" i="12"/>
  <c r="N311" i="12"/>
  <c r="N309" i="12" s="1"/>
  <c r="T311" i="12"/>
  <c r="U311" i="12"/>
  <c r="I314" i="12"/>
  <c r="J319" i="12"/>
  <c r="L321" i="12"/>
  <c r="M321" i="12"/>
  <c r="P321" i="12" s="1"/>
  <c r="N321" i="12"/>
  <c r="Q321" i="12"/>
  <c r="R321" i="12"/>
  <c r="U321" i="12" s="1"/>
  <c r="S321" i="12"/>
  <c r="Q322" i="12"/>
  <c r="T322" i="12" s="1"/>
  <c r="R322" i="12"/>
  <c r="U322" i="12" s="1"/>
  <c r="S322" i="12"/>
  <c r="S320" i="12" s="1"/>
  <c r="Q323" i="12"/>
  <c r="T323" i="12" s="1"/>
  <c r="R323" i="12"/>
  <c r="U323" i="12" s="1"/>
  <c r="S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R326" i="12"/>
  <c r="U326" i="12" s="1"/>
  <c r="S326" i="12"/>
  <c r="T326" i="12"/>
  <c r="O327" i="12"/>
  <c r="P327" i="12"/>
  <c r="T327" i="12"/>
  <c r="U327" i="12"/>
  <c r="L328" i="12"/>
  <c r="O328" i="12" s="1"/>
  <c r="M328" i="12"/>
  <c r="N328" i="12"/>
  <c r="N326" i="12" s="1"/>
  <c r="T328" i="12"/>
  <c r="U328" i="12"/>
  <c r="I330" i="12"/>
  <c r="I319" i="12" s="1"/>
  <c r="K319" i="12" s="1"/>
  <c r="I332" i="12"/>
  <c r="L334" i="12"/>
  <c r="M334" i="12"/>
  <c r="N334" i="12"/>
  <c r="Q334" i="12"/>
  <c r="Q333" i="12" s="1"/>
  <c r="T333" i="12" s="1"/>
  <c r="R334" i="12"/>
  <c r="S334" i="12"/>
  <c r="Q335" i="12"/>
  <c r="T335" i="12" s="1"/>
  <c r="R335" i="12"/>
  <c r="U335" i="12" s="1"/>
  <c r="S335" i="12"/>
  <c r="Q336" i="12"/>
  <c r="T336" i="12" s="1"/>
  <c r="R336" i="12"/>
  <c r="U336" i="12" s="1"/>
  <c r="S336" i="12"/>
  <c r="O337" i="12"/>
  <c r="P337" i="12"/>
  <c r="T337" i="12"/>
  <c r="U337" i="12"/>
  <c r="L338" i="12"/>
  <c r="L336" i="12" s="1"/>
  <c r="M338" i="12"/>
  <c r="M336" i="12" s="1"/>
  <c r="N338" i="12"/>
  <c r="N336" i="12" s="1"/>
  <c r="T338" i="12"/>
  <c r="U338" i="12"/>
  <c r="Q339" i="12"/>
  <c r="T339" i="12" s="1"/>
  <c r="R339" i="12"/>
  <c r="S339" i="12"/>
  <c r="U339" i="12"/>
  <c r="O340" i="12"/>
  <c r="P340" i="12"/>
  <c r="T340" i="12"/>
  <c r="U340" i="12"/>
  <c r="L341" i="12"/>
  <c r="L339" i="12" s="1"/>
  <c r="O339" i="12" s="1"/>
  <c r="M341" i="12"/>
  <c r="P341" i="12" s="1"/>
  <c r="N341" i="12"/>
  <c r="N339" i="12" s="1"/>
  <c r="T341" i="12"/>
  <c r="U341" i="12"/>
  <c r="J344" i="12"/>
  <c r="K344" i="12"/>
  <c r="I346" i="12"/>
  <c r="J346" i="12"/>
  <c r="J347" i="12"/>
  <c r="J348" i="12"/>
  <c r="J349" i="12"/>
  <c r="D350" i="12"/>
  <c r="J352" i="12"/>
  <c r="J353" i="12"/>
  <c r="J354" i="12"/>
  <c r="L357" i="12"/>
  <c r="O357" i="12" s="1"/>
  <c r="M357" i="12"/>
  <c r="P357" i="12" s="1"/>
  <c r="N357" i="12"/>
  <c r="Q357" i="12"/>
  <c r="R357" i="12"/>
  <c r="U357" i="12" s="1"/>
  <c r="S357" i="12"/>
  <c r="Q358" i="12"/>
  <c r="T358" i="12" s="1"/>
  <c r="R358" i="12"/>
  <c r="U358" i="12" s="1"/>
  <c r="S358" i="12"/>
  <c r="Q359" i="12"/>
  <c r="T359" i="12" s="1"/>
  <c r="R359" i="12"/>
  <c r="U359" i="12" s="1"/>
  <c r="S359" i="12"/>
  <c r="O360" i="12"/>
  <c r="P360" i="12"/>
  <c r="T360" i="12"/>
  <c r="U360" i="12"/>
  <c r="L361" i="12"/>
  <c r="M361" i="12"/>
  <c r="N361" i="12"/>
  <c r="N359" i="12" s="1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N376" i="12"/>
  <c r="Q376" i="12"/>
  <c r="T376" i="12" s="1"/>
  <c r="R376" i="12"/>
  <c r="U376" i="12" s="1"/>
  <c r="S376" i="12"/>
  <c r="O379" i="12"/>
  <c r="P379" i="12"/>
  <c r="T379" i="12"/>
  <c r="U379" i="12"/>
  <c r="L380" i="12"/>
  <c r="M380" i="12"/>
  <c r="P380" i="12" s="1"/>
  <c r="N380" i="12"/>
  <c r="N378" i="12" s="1"/>
  <c r="Q380" i="12"/>
  <c r="R380" i="12"/>
  <c r="R377" i="12" s="1"/>
  <c r="S380" i="12"/>
  <c r="Q381" i="12"/>
  <c r="R381" i="12"/>
  <c r="U381" i="12" s="1"/>
  <c r="S381" i="12"/>
  <c r="T381" i="12"/>
  <c r="O382" i="12"/>
  <c r="P382" i="12"/>
  <c r="T382" i="12"/>
  <c r="U382" i="12"/>
  <c r="L383" i="12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O393" i="12" s="1"/>
  <c r="M393" i="12"/>
  <c r="P393" i="12" s="1"/>
  <c r="N393" i="12"/>
  <c r="N392" i="12" s="1"/>
  <c r="Q393" i="12"/>
  <c r="R393" i="12"/>
  <c r="U393" i="12" s="1"/>
  <c r="S393" i="12"/>
  <c r="T393" i="12"/>
  <c r="L394" i="12"/>
  <c r="O394" i="12" s="1"/>
  <c r="M394" i="12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R397" i="12"/>
  <c r="S397" i="12"/>
  <c r="S395" i="12" s="1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P414" i="12" s="1"/>
  <c r="N414" i="12"/>
  <c r="Q414" i="12"/>
  <c r="R414" i="12"/>
  <c r="S414" i="12"/>
  <c r="O417" i="12"/>
  <c r="P417" i="12"/>
  <c r="T417" i="12"/>
  <c r="U417" i="12"/>
  <c r="L418" i="12"/>
  <c r="L416" i="12" s="1"/>
  <c r="M418" i="12"/>
  <c r="M416" i="12" s="1"/>
  <c r="N418" i="12"/>
  <c r="N416" i="12" s="1"/>
  <c r="Q418" i="12"/>
  <c r="Q416" i="12" s="1"/>
  <c r="R418" i="12"/>
  <c r="S418" i="12"/>
  <c r="S416" i="12" s="1"/>
  <c r="Q419" i="12"/>
  <c r="R419" i="12"/>
  <c r="U419" i="12" s="1"/>
  <c r="S419" i="12"/>
  <c r="T419" i="12"/>
  <c r="O420" i="12"/>
  <c r="P420" i="12"/>
  <c r="T420" i="12"/>
  <c r="U420" i="12"/>
  <c r="L421" i="12"/>
  <c r="O421" i="12" s="1"/>
  <c r="M421" i="12"/>
  <c r="N421" i="12"/>
  <c r="N419" i="12" s="1"/>
  <c r="T421" i="12"/>
  <c r="U421" i="12"/>
  <c r="I424" i="12"/>
  <c r="K424" i="12" s="1"/>
  <c r="J424" i="12"/>
  <c r="I425" i="12"/>
  <c r="J425" i="12"/>
  <c r="I432" i="12"/>
  <c r="J432" i="12"/>
  <c r="I433" i="12"/>
  <c r="J433" i="12"/>
  <c r="I440" i="12"/>
  <c r="I423" i="12" s="1"/>
  <c r="I441" i="12"/>
  <c r="J446" i="12"/>
  <c r="J440" i="12" s="1"/>
  <c r="J423" i="12" s="1"/>
  <c r="J412" i="12" s="1"/>
  <c r="J447" i="12"/>
  <c r="J441" i="12" s="1"/>
  <c r="I457" i="12"/>
  <c r="I456" i="12" s="1"/>
  <c r="I458" i="12"/>
  <c r="J459" i="12"/>
  <c r="J457" i="12" s="1"/>
  <c r="J456" i="12" s="1"/>
  <c r="J460" i="12"/>
  <c r="J467" i="12"/>
  <c r="J468" i="12"/>
  <c r="J475" i="12"/>
  <c r="K475" i="12"/>
  <c r="J476" i="12"/>
  <c r="K476" i="12"/>
  <c r="J477" i="12"/>
  <c r="K477" i="12"/>
  <c r="I484" i="12"/>
  <c r="J484" i="12"/>
  <c r="I485" i="12"/>
  <c r="K485" i="12" s="1"/>
  <c r="J485" i="12"/>
  <c r="L494" i="12"/>
  <c r="M494" i="12"/>
  <c r="P494" i="12" s="1"/>
  <c r="N494" i="12"/>
  <c r="Q494" i="12"/>
  <c r="R494" i="12"/>
  <c r="S494" i="12"/>
  <c r="O497" i="12"/>
  <c r="P497" i="12"/>
  <c r="T497" i="12"/>
  <c r="U497" i="12"/>
  <c r="L498" i="12"/>
  <c r="O498" i="12" s="1"/>
  <c r="M498" i="12"/>
  <c r="M496" i="12" s="1"/>
  <c r="P496" i="12" s="1"/>
  <c r="N498" i="12"/>
  <c r="N496" i="12" s="1"/>
  <c r="Q498" i="12"/>
  <c r="R498" i="12"/>
  <c r="R496" i="12" s="1"/>
  <c r="U496" i="12" s="1"/>
  <c r="S498" i="12"/>
  <c r="S496" i="12" s="1"/>
  <c r="Q499" i="12"/>
  <c r="R499" i="12"/>
  <c r="U499" i="12" s="1"/>
  <c r="S499" i="12"/>
  <c r="T499" i="12"/>
  <c r="O500" i="12"/>
  <c r="P500" i="12"/>
  <c r="T500" i="12"/>
  <c r="U500" i="12"/>
  <c r="L501" i="12"/>
  <c r="M501" i="12"/>
  <c r="N501" i="12"/>
  <c r="N499" i="12" s="1"/>
  <c r="T501" i="12"/>
  <c r="U501" i="12"/>
  <c r="I503" i="12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P514" i="12" s="1"/>
  <c r="N514" i="12"/>
  <c r="O514" i="12"/>
  <c r="Q514" i="12"/>
  <c r="R514" i="12"/>
  <c r="R513" i="12" s="1"/>
  <c r="U513" i="12" s="1"/>
  <c r="S514" i="12"/>
  <c r="S513" i="12" s="1"/>
  <c r="T514" i="12"/>
  <c r="U514" i="12"/>
  <c r="Q515" i="12"/>
  <c r="R515" i="12"/>
  <c r="U515" i="12" s="1"/>
  <c r="S515" i="12"/>
  <c r="Q516" i="12"/>
  <c r="T516" i="12" s="1"/>
  <c r="R516" i="12"/>
  <c r="U516" i="12" s="1"/>
  <c r="S516" i="12"/>
  <c r="O517" i="12"/>
  <c r="P517" i="12"/>
  <c r="T517" i="12"/>
  <c r="U517" i="12"/>
  <c r="L518" i="12"/>
  <c r="O518" i="12" s="1"/>
  <c r="M518" i="12"/>
  <c r="M516" i="12" s="1"/>
  <c r="P516" i="12" s="1"/>
  <c r="N518" i="12"/>
  <c r="N516" i="12" s="1"/>
  <c r="T518" i="12"/>
  <c r="U518" i="12"/>
  <c r="Q519" i="12"/>
  <c r="R519" i="12"/>
  <c r="S519" i="12"/>
  <c r="T519" i="12"/>
  <c r="U519" i="12"/>
  <c r="O520" i="12"/>
  <c r="P520" i="12"/>
  <c r="T520" i="12"/>
  <c r="U520" i="12"/>
  <c r="L521" i="12"/>
  <c r="O521" i="12" s="1"/>
  <c r="M521" i="12"/>
  <c r="N521" i="12"/>
  <c r="N519" i="12" s="1"/>
  <c r="T521" i="12"/>
  <c r="U521" i="12"/>
  <c r="K523" i="12"/>
  <c r="K524" i="12"/>
  <c r="I533" i="12"/>
  <c r="K533" i="12" s="1"/>
  <c r="J533" i="12"/>
  <c r="S534" i="12"/>
  <c r="L535" i="12"/>
  <c r="O535" i="12" s="1"/>
  <c r="M535" i="12"/>
  <c r="N535" i="12"/>
  <c r="Q535" i="12"/>
  <c r="T535" i="12" s="1"/>
  <c r="R535" i="12"/>
  <c r="U535" i="12" s="1"/>
  <c r="S535" i="12"/>
  <c r="Q536" i="12"/>
  <c r="R536" i="12"/>
  <c r="S536" i="12"/>
  <c r="Q537" i="12"/>
  <c r="R537" i="12"/>
  <c r="U537" i="12" s="1"/>
  <c r="S537" i="12"/>
  <c r="T537" i="12"/>
  <c r="O538" i="12"/>
  <c r="P538" i="12"/>
  <c r="T538" i="12"/>
  <c r="U538" i="12"/>
  <c r="L539" i="12"/>
  <c r="M539" i="12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L540" i="12" s="1"/>
  <c r="O540" i="12" s="1"/>
  <c r="M542" i="12"/>
  <c r="P542" i="12" s="1"/>
  <c r="N542" i="12"/>
  <c r="N540" i="12" s="1"/>
  <c r="T542" i="12"/>
  <c r="U542" i="12"/>
  <c r="I554" i="12"/>
  <c r="K554" i="12" s="1"/>
  <c r="J554" i="12"/>
  <c r="L556" i="12"/>
  <c r="M556" i="12"/>
  <c r="N556" i="12"/>
  <c r="Q556" i="12"/>
  <c r="T556" i="12" s="1"/>
  <c r="R556" i="12"/>
  <c r="S556" i="12"/>
  <c r="S555" i="12" s="1"/>
  <c r="Q557" i="12"/>
  <c r="T557" i="12" s="1"/>
  <c r="R557" i="12"/>
  <c r="U557" i="12" s="1"/>
  <c r="S557" i="12"/>
  <c r="Q558" i="12"/>
  <c r="T558" i="12" s="1"/>
  <c r="R558" i="12"/>
  <c r="U558" i="12" s="1"/>
  <c r="S558" i="12"/>
  <c r="O559" i="12"/>
  <c r="P559" i="12"/>
  <c r="T559" i="12"/>
  <c r="U559" i="12"/>
  <c r="L560" i="12"/>
  <c r="L558" i="12" s="1"/>
  <c r="O558" i="12" s="1"/>
  <c r="M560" i="12"/>
  <c r="P560" i="12" s="1"/>
  <c r="N560" i="12"/>
  <c r="N558" i="12" s="1"/>
  <c r="T560" i="12"/>
  <c r="U560" i="12"/>
  <c r="Q561" i="12"/>
  <c r="R561" i="12"/>
  <c r="U561" i="12" s="1"/>
  <c r="S561" i="12"/>
  <c r="T561" i="12"/>
  <c r="O562" i="12"/>
  <c r="P562" i="12"/>
  <c r="T562" i="12"/>
  <c r="U562" i="12"/>
  <c r="L563" i="12"/>
  <c r="M563" i="12"/>
  <c r="N563" i="12"/>
  <c r="N561" i="12" s="1"/>
  <c r="T563" i="12"/>
  <c r="U563" i="12"/>
  <c r="I575" i="12"/>
  <c r="J575" i="12"/>
  <c r="L577" i="12"/>
  <c r="M577" i="12"/>
  <c r="N577" i="12"/>
  <c r="O577" i="12"/>
  <c r="P577" i="12"/>
  <c r="Q577" i="12"/>
  <c r="R577" i="12"/>
  <c r="S577" i="12"/>
  <c r="S576" i="12" s="1"/>
  <c r="T577" i="12"/>
  <c r="U577" i="12"/>
  <c r="Q578" i="12"/>
  <c r="R578" i="12"/>
  <c r="S578" i="12"/>
  <c r="Q579" i="12"/>
  <c r="T579" i="12" s="1"/>
  <c r="R579" i="12"/>
  <c r="U579" i="12" s="1"/>
  <c r="S579" i="12"/>
  <c r="O580" i="12"/>
  <c r="P580" i="12"/>
  <c r="T580" i="12"/>
  <c r="U580" i="12"/>
  <c r="L581" i="12"/>
  <c r="M581" i="12"/>
  <c r="M579" i="12" s="1"/>
  <c r="N581" i="12"/>
  <c r="N579" i="12" s="1"/>
  <c r="T581" i="12"/>
  <c r="U581" i="12"/>
  <c r="Q582" i="12"/>
  <c r="T582" i="12" s="1"/>
  <c r="R582" i="12"/>
  <c r="S582" i="12"/>
  <c r="U582" i="12"/>
  <c r="O583" i="12"/>
  <c r="P583" i="12"/>
  <c r="T583" i="12"/>
  <c r="U583" i="12"/>
  <c r="L584" i="12"/>
  <c r="M584" i="12"/>
  <c r="P584" i="12" s="1"/>
  <c r="N584" i="12"/>
  <c r="N582" i="12" s="1"/>
  <c r="T584" i="12"/>
  <c r="U584" i="12"/>
  <c r="K586" i="12"/>
  <c r="K587" i="12"/>
  <c r="L600" i="12"/>
  <c r="O600" i="12" s="1"/>
  <c r="M600" i="12"/>
  <c r="N600" i="12"/>
  <c r="Q600" i="12"/>
  <c r="T600" i="12" s="1"/>
  <c r="R600" i="12"/>
  <c r="U600" i="12" s="1"/>
  <c r="S600" i="12"/>
  <c r="O603" i="12"/>
  <c r="P603" i="12"/>
  <c r="T603" i="12"/>
  <c r="U603" i="12"/>
  <c r="L604" i="12"/>
  <c r="M604" i="12"/>
  <c r="N604" i="12"/>
  <c r="N602" i="12" s="1"/>
  <c r="Q604" i="12"/>
  <c r="Q602" i="12" s="1"/>
  <c r="T602" i="12" s="1"/>
  <c r="R604" i="12"/>
  <c r="R602" i="12" s="1"/>
  <c r="U602" i="12" s="1"/>
  <c r="S604" i="12"/>
  <c r="S602" i="12" s="1"/>
  <c r="O606" i="12"/>
  <c r="P606" i="12"/>
  <c r="T606" i="12"/>
  <c r="U606" i="12"/>
  <c r="L607" i="12"/>
  <c r="L605" i="12" s="1"/>
  <c r="O605" i="12" s="1"/>
  <c r="M607" i="12"/>
  <c r="N607" i="12"/>
  <c r="N605" i="12" s="1"/>
  <c r="Q607" i="12"/>
  <c r="Q605" i="12" s="1"/>
  <c r="T605" i="12" s="1"/>
  <c r="R607" i="12"/>
  <c r="R605" i="12" s="1"/>
  <c r="U605" i="12" s="1"/>
  <c r="S607" i="12"/>
  <c r="S605" i="12" s="1"/>
  <c r="L617" i="12"/>
  <c r="M617" i="12"/>
  <c r="N617" i="12"/>
  <c r="N616" i="12" s="1"/>
  <c r="O617" i="12"/>
  <c r="P617" i="12"/>
  <c r="Q617" i="12"/>
  <c r="R617" i="12"/>
  <c r="S617" i="12"/>
  <c r="U617" i="12"/>
  <c r="L618" i="12"/>
  <c r="M618" i="12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R621" i="12"/>
  <c r="R618" i="12" s="1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O643" i="12" s="1"/>
  <c r="M643" i="12"/>
  <c r="N643" i="12"/>
  <c r="N642" i="12" s="1"/>
  <c r="Q643" i="12"/>
  <c r="R643" i="12"/>
  <c r="U643" i="12" s="1"/>
  <c r="S643" i="12"/>
  <c r="T643" i="12"/>
  <c r="L644" i="12"/>
  <c r="M644" i="12"/>
  <c r="N644" i="12"/>
  <c r="P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4" i="12" s="1"/>
  <c r="R647" i="12"/>
  <c r="R645" i="12" s="1"/>
  <c r="U645" i="12" s="1"/>
  <c r="S647" i="12"/>
  <c r="S644" i="12" s="1"/>
  <c r="L648" i="12"/>
  <c r="M648" i="12"/>
  <c r="N648" i="12"/>
  <c r="O648" i="12"/>
  <c r="P648" i="12"/>
  <c r="Q648" i="12"/>
  <c r="T648" i="12" s="1"/>
  <c r="R648" i="12"/>
  <c r="S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N691" i="12"/>
  <c r="P691" i="12"/>
  <c r="Q691" i="12"/>
  <c r="T691" i="12" s="1"/>
  <c r="R691" i="12"/>
  <c r="U691" i="12" s="1"/>
  <c r="S691" i="12"/>
  <c r="L692" i="12"/>
  <c r="M692" i="12"/>
  <c r="P692" i="12" s="1"/>
  <c r="N692" i="12"/>
  <c r="N690" i="12" s="1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R692" i="12" s="1"/>
  <c r="S695" i="12"/>
  <c r="S692" i="12" s="1"/>
  <c r="S690" i="12" s="1"/>
  <c r="L696" i="12"/>
  <c r="M696" i="12"/>
  <c r="P696" i="12" s="1"/>
  <c r="N696" i="12"/>
  <c r="O696" i="12"/>
  <c r="Q696" i="12"/>
  <c r="R696" i="12"/>
  <c r="S696" i="12"/>
  <c r="T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I689" i="12" s="1"/>
  <c r="J707" i="12"/>
  <c r="J689" i="12" s="1"/>
  <c r="J708" i="12"/>
  <c r="K708" i="12"/>
  <c r="I709" i="12"/>
  <c r="J709" i="12"/>
  <c r="J710" i="12"/>
  <c r="K710" i="12"/>
  <c r="J712" i="12"/>
  <c r="K712" i="12"/>
  <c r="L715" i="12"/>
  <c r="L714" i="12" s="1"/>
  <c r="O714" i="12" s="1"/>
  <c r="M715" i="12"/>
  <c r="N715" i="12"/>
  <c r="N714" i="12" s="1"/>
  <c r="P715" i="12"/>
  <c r="Q715" i="12"/>
  <c r="R715" i="12"/>
  <c r="S715" i="12"/>
  <c r="L716" i="12"/>
  <c r="O716" i="12" s="1"/>
  <c r="M716" i="12"/>
  <c r="P716" i="12" s="1"/>
  <c r="N716" i="12"/>
  <c r="Q716" i="12"/>
  <c r="R716" i="12"/>
  <c r="U716" i="12" s="1"/>
  <c r="S716" i="12"/>
  <c r="T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J727" i="12"/>
  <c r="N728" i="12"/>
  <c r="L729" i="12"/>
  <c r="M729" i="12"/>
  <c r="M728" i="12" s="1"/>
  <c r="P728" i="12" s="1"/>
  <c r="N729" i="12"/>
  <c r="Q729" i="12"/>
  <c r="R729" i="12"/>
  <c r="S729" i="12"/>
  <c r="L730" i="12"/>
  <c r="O730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0" i="12" s="1"/>
  <c r="R733" i="12"/>
  <c r="R731" i="12" s="1"/>
  <c r="S733" i="12"/>
  <c r="S730" i="12" s="1"/>
  <c r="L734" i="12"/>
  <c r="O734" i="12" s="1"/>
  <c r="M734" i="12"/>
  <c r="P734" i="12" s="1"/>
  <c r="N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M761" i="12"/>
  <c r="N761" i="12"/>
  <c r="N760" i="12" s="1"/>
  <c r="P761" i="12"/>
  <c r="Q761" i="12"/>
  <c r="R761" i="12"/>
  <c r="S761" i="12"/>
  <c r="L762" i="12"/>
  <c r="O762" i="12" s="1"/>
  <c r="M762" i="12"/>
  <c r="P762" i="12" s="1"/>
  <c r="N762" i="12"/>
  <c r="L763" i="12"/>
  <c r="M763" i="12"/>
  <c r="N763" i="12"/>
  <c r="O763" i="12"/>
  <c r="P763" i="12"/>
  <c r="O764" i="12"/>
  <c r="P764" i="12"/>
  <c r="T764" i="12"/>
  <c r="U764" i="12"/>
  <c r="O765" i="12"/>
  <c r="P765" i="12"/>
  <c r="Q765" i="12"/>
  <c r="Q763" i="12" s="1"/>
  <c r="R765" i="12"/>
  <c r="R762" i="12" s="1"/>
  <c r="S765" i="12"/>
  <c r="S763" i="12" s="1"/>
  <c r="L766" i="12"/>
  <c r="O766" i="12" s="1"/>
  <c r="M766" i="12"/>
  <c r="P766" i="12" s="1"/>
  <c r="N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K774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L19" i="11" s="1"/>
  <c r="M22" i="11"/>
  <c r="N22" i="11"/>
  <c r="Q22" i="11"/>
  <c r="T22" i="11" s="1"/>
  <c r="R22" i="11"/>
  <c r="S22" i="11"/>
  <c r="L25" i="11"/>
  <c r="M25" i="11"/>
  <c r="N25" i="11"/>
  <c r="O25" i="11"/>
  <c r="Q25" i="11"/>
  <c r="T25" i="11" s="1"/>
  <c r="R25" i="11"/>
  <c r="U25" i="11" s="1"/>
  <c r="S25" i="11"/>
  <c r="L45" i="11"/>
  <c r="O45" i="11" s="1"/>
  <c r="M45" i="11"/>
  <c r="P45" i="11" s="1"/>
  <c r="N45" i="11"/>
  <c r="Q45" i="11"/>
  <c r="R45" i="11"/>
  <c r="U45" i="11" s="1"/>
  <c r="S45" i="1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L50" i="11" s="1"/>
  <c r="O50" i="11" s="1"/>
  <c r="M52" i="11"/>
  <c r="N52" i="11"/>
  <c r="T52" i="11"/>
  <c r="U52" i="11"/>
  <c r="L60" i="11"/>
  <c r="O60" i="11" s="1"/>
  <c r="M60" i="11"/>
  <c r="N60" i="11"/>
  <c r="P60" i="11"/>
  <c r="Q60" i="11"/>
  <c r="R60" i="11"/>
  <c r="U60" i="11" s="1"/>
  <c r="S60" i="11"/>
  <c r="Q61" i="11"/>
  <c r="R61" i="11"/>
  <c r="U61" i="11" s="1"/>
  <c r="S61" i="11"/>
  <c r="S59" i="11" s="1"/>
  <c r="T61" i="11"/>
  <c r="Q62" i="11"/>
  <c r="R62" i="11"/>
  <c r="U62" i="11" s="1"/>
  <c r="S62" i="11"/>
  <c r="T62" i="11"/>
  <c r="O63" i="11"/>
  <c r="P63" i="11"/>
  <c r="T63" i="11"/>
  <c r="U63" i="11"/>
  <c r="L64" i="11"/>
  <c r="M64" i="11"/>
  <c r="N64" i="11"/>
  <c r="N62" i="11" s="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O67" i="11" s="1"/>
  <c r="M67" i="11"/>
  <c r="N67" i="11"/>
  <c r="N65" i="11" s="1"/>
  <c r="T67" i="11"/>
  <c r="U67" i="11"/>
  <c r="L73" i="11"/>
  <c r="O73" i="11" s="1"/>
  <c r="M73" i="11"/>
  <c r="N73" i="11"/>
  <c r="P73" i="11"/>
  <c r="Q73" i="11"/>
  <c r="T73" i="11" s="1"/>
  <c r="R73" i="11"/>
  <c r="U73" i="11" s="1"/>
  <c r="S73" i="11"/>
  <c r="O76" i="11"/>
  <c r="P76" i="11"/>
  <c r="T76" i="11"/>
  <c r="U76" i="11"/>
  <c r="L77" i="11"/>
  <c r="M77" i="11"/>
  <c r="N77" i="11"/>
  <c r="N75" i="11" s="1"/>
  <c r="Q77" i="11"/>
  <c r="R77" i="11"/>
  <c r="R75" i="11" s="1"/>
  <c r="S77" i="11"/>
  <c r="S75" i="11" s="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Q80" i="1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T95" i="11"/>
  <c r="O98" i="11"/>
  <c r="P98" i="11"/>
  <c r="T98" i="11"/>
  <c r="U98" i="11"/>
  <c r="L99" i="11"/>
  <c r="M99" i="11"/>
  <c r="N99" i="11"/>
  <c r="Q99" i="11"/>
  <c r="Q97" i="11" s="1"/>
  <c r="R99" i="11"/>
  <c r="S99" i="11"/>
  <c r="Q100" i="11"/>
  <c r="R100" i="11"/>
  <c r="U100" i="11" s="1"/>
  <c r="S100" i="11"/>
  <c r="T100" i="11"/>
  <c r="O101" i="11"/>
  <c r="P101" i="11"/>
  <c r="T101" i="11"/>
  <c r="U101" i="11"/>
  <c r="L102" i="11"/>
  <c r="M102" i="11"/>
  <c r="P102" i="11" s="1"/>
  <c r="N102" i="11"/>
  <c r="N100" i="11" s="1"/>
  <c r="T102" i="11"/>
  <c r="U102" i="11"/>
  <c r="I108" i="11"/>
  <c r="K108" i="11" s="1"/>
  <c r="I109" i="11"/>
  <c r="I93" i="11" s="1"/>
  <c r="I113" i="11"/>
  <c r="K113" i="11" s="1"/>
  <c r="I114" i="11"/>
  <c r="K114" i="11" s="1"/>
  <c r="J116" i="11"/>
  <c r="L118" i="11"/>
  <c r="O118" i="11" s="1"/>
  <c r="M118" i="11"/>
  <c r="P118" i="11" s="1"/>
  <c r="N118" i="11"/>
  <c r="Q118" i="11"/>
  <c r="R118" i="11"/>
  <c r="U118" i="11" s="1"/>
  <c r="S118" i="11"/>
  <c r="T118" i="11"/>
  <c r="O121" i="11"/>
  <c r="P121" i="11"/>
  <c r="T121" i="11"/>
  <c r="U121" i="11"/>
  <c r="L122" i="11"/>
  <c r="L120" i="11" s="1"/>
  <c r="O120" i="11" s="1"/>
  <c r="M122" i="11"/>
  <c r="P122" i="11" s="1"/>
  <c r="N122" i="11"/>
  <c r="N120" i="11" s="1"/>
  <c r="Q122" i="11"/>
  <c r="R122" i="11"/>
  <c r="S122" i="11"/>
  <c r="O124" i="11"/>
  <c r="P124" i="11"/>
  <c r="T124" i="11"/>
  <c r="U124" i="11"/>
  <c r="L125" i="11"/>
  <c r="L123" i="11" s="1"/>
  <c r="O123" i="11" s="1"/>
  <c r="M125" i="11"/>
  <c r="N125" i="11"/>
  <c r="Q125" i="11"/>
  <c r="T125" i="11" s="1"/>
  <c r="R125" i="11"/>
  <c r="R123" i="11" s="1"/>
  <c r="U123" i="11" s="1"/>
  <c r="S125" i="11"/>
  <c r="S123" i="11" s="1"/>
  <c r="I127" i="1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T140" i="11" s="1"/>
  <c r="R140" i="11"/>
  <c r="U140" i="11" s="1"/>
  <c r="S140" i="11"/>
  <c r="O143" i="11"/>
  <c r="P143" i="11"/>
  <c r="T143" i="11"/>
  <c r="U143" i="11"/>
  <c r="L144" i="11"/>
  <c r="M144" i="11"/>
  <c r="N144" i="11"/>
  <c r="Q144" i="11"/>
  <c r="R144" i="11"/>
  <c r="R142" i="11" s="1"/>
  <c r="S144" i="11"/>
  <c r="O146" i="11"/>
  <c r="P146" i="11"/>
  <c r="T146" i="11"/>
  <c r="U146" i="11"/>
  <c r="L147" i="11"/>
  <c r="O147" i="11" s="1"/>
  <c r="M147" i="11"/>
  <c r="M145" i="11" s="1"/>
  <c r="P145" i="11" s="1"/>
  <c r="N147" i="11"/>
  <c r="N145" i="11" s="1"/>
  <c r="Q147" i="11"/>
  <c r="T147" i="11" s="1"/>
  <c r="R147" i="11"/>
  <c r="S147" i="11"/>
  <c r="S145" i="11" s="1"/>
  <c r="I150" i="11"/>
  <c r="K150" i="11" s="1"/>
  <c r="I151" i="11"/>
  <c r="K151" i="11" s="1"/>
  <c r="I152" i="11"/>
  <c r="I137" i="11" s="1"/>
  <c r="I153" i="11"/>
  <c r="K153" i="11" s="1"/>
  <c r="I154" i="11"/>
  <c r="I136" i="11" s="1"/>
  <c r="K136" i="11" s="1"/>
  <c r="J156" i="11"/>
  <c r="L158" i="11"/>
  <c r="O158" i="11" s="1"/>
  <c r="M158" i="11"/>
  <c r="N158" i="11"/>
  <c r="Q158" i="11"/>
  <c r="R158" i="11"/>
  <c r="U158" i="11" s="1"/>
  <c r="S158" i="11"/>
  <c r="O161" i="11"/>
  <c r="P161" i="11"/>
  <c r="T161" i="11"/>
  <c r="U161" i="11"/>
  <c r="L162" i="11"/>
  <c r="M162" i="11"/>
  <c r="N162" i="11"/>
  <c r="N160" i="11" s="1"/>
  <c r="Q162" i="11"/>
  <c r="Q159" i="11" s="1"/>
  <c r="T159" i="11" s="1"/>
  <c r="R162" i="11"/>
  <c r="R160" i="11" s="1"/>
  <c r="U160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L163" i="11" s="1"/>
  <c r="O163" i="11" s="1"/>
  <c r="M165" i="11"/>
  <c r="N165" i="11"/>
  <c r="N163" i="11" s="1"/>
  <c r="T165" i="11"/>
  <c r="U165" i="11"/>
  <c r="I167" i="11"/>
  <c r="I168" i="11" s="1"/>
  <c r="K168" i="11" s="1"/>
  <c r="J172" i="11"/>
  <c r="L174" i="11"/>
  <c r="O174" i="11" s="1"/>
  <c r="M174" i="11"/>
  <c r="P174" i="11" s="1"/>
  <c r="N174" i="11"/>
  <c r="Q174" i="11"/>
  <c r="R174" i="11"/>
  <c r="S174" i="11"/>
  <c r="O177" i="11"/>
  <c r="P177" i="11"/>
  <c r="T177" i="11"/>
  <c r="U177" i="11"/>
  <c r="L178" i="11"/>
  <c r="L176" i="11" s="1"/>
  <c r="M178" i="11"/>
  <c r="M176" i="11" s="1"/>
  <c r="N178" i="11"/>
  <c r="N176" i="11" s="1"/>
  <c r="Q178" i="11"/>
  <c r="Q175" i="11" s="1"/>
  <c r="R178" i="11"/>
  <c r="R176" i="11" s="1"/>
  <c r="S178" i="11"/>
  <c r="S176" i="11" s="1"/>
  <c r="Q179" i="11"/>
  <c r="R179" i="11"/>
  <c r="S179" i="11"/>
  <c r="T179" i="11"/>
  <c r="U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K184" i="11"/>
  <c r="L187" i="11"/>
  <c r="M187" i="11"/>
  <c r="N187" i="11"/>
  <c r="O187" i="11"/>
  <c r="P187" i="11"/>
  <c r="Q187" i="11"/>
  <c r="T187" i="11" s="1"/>
  <c r="R187" i="11"/>
  <c r="S187" i="11"/>
  <c r="U187" i="11"/>
  <c r="O190" i="11"/>
  <c r="P190" i="11"/>
  <c r="T190" i="11"/>
  <c r="U190" i="11"/>
  <c r="L191" i="11"/>
  <c r="L189" i="11" s="1"/>
  <c r="M191" i="11"/>
  <c r="M189" i="11" s="1"/>
  <c r="N191" i="11"/>
  <c r="Q191" i="11"/>
  <c r="R191" i="11"/>
  <c r="R189" i="11" s="1"/>
  <c r="S191" i="11"/>
  <c r="S189" i="11" s="1"/>
  <c r="O193" i="11"/>
  <c r="P193" i="11"/>
  <c r="T193" i="11"/>
  <c r="U193" i="11"/>
  <c r="L194" i="11"/>
  <c r="O194" i="11" s="1"/>
  <c r="M194" i="11"/>
  <c r="P194" i="11" s="1"/>
  <c r="N194" i="11"/>
  <c r="N192" i="11" s="1"/>
  <c r="Q194" i="11"/>
  <c r="R194" i="11"/>
  <c r="S194" i="11"/>
  <c r="S192" i="11" s="1"/>
  <c r="J195" i="11"/>
  <c r="L196" i="11"/>
  <c r="O196" i="11" s="1"/>
  <c r="P196" i="11"/>
  <c r="I198" i="1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I219" i="11"/>
  <c r="K219" i="11" s="1"/>
  <c r="I220" i="11"/>
  <c r="I213" i="11" s="1"/>
  <c r="J221" i="11"/>
  <c r="N222" i="11"/>
  <c r="P222" i="11"/>
  <c r="L223" i="11"/>
  <c r="L224" i="11"/>
  <c r="L225" i="11"/>
  <c r="I228" i="11"/>
  <c r="K228" i="11" s="1"/>
  <c r="I229" i="11"/>
  <c r="I230" i="11"/>
  <c r="Q232" i="11"/>
  <c r="R232" i="11"/>
  <c r="S232" i="11"/>
  <c r="N233" i="11"/>
  <c r="N234" i="11"/>
  <c r="N235" i="11"/>
  <c r="N236" i="11"/>
  <c r="J238" i="11"/>
  <c r="I240" i="11"/>
  <c r="K240" i="11" s="1"/>
  <c r="J240" i="11"/>
  <c r="I241" i="11"/>
  <c r="J241" i="11"/>
  <c r="K241" i="11"/>
  <c r="J242" i="11"/>
  <c r="J231" i="11" s="1"/>
  <c r="J185" i="11" s="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I253" i="11" s="1"/>
  <c r="K253" i="11" s="1"/>
  <c r="K262" i="11"/>
  <c r="K263" i="11"/>
  <c r="J265" i="11"/>
  <c r="L267" i="11"/>
  <c r="M267" i="11"/>
  <c r="N267" i="11"/>
  <c r="P267" i="11"/>
  <c r="Q267" i="11"/>
  <c r="R267" i="11"/>
  <c r="S267" i="11"/>
  <c r="O270" i="11"/>
  <c r="P270" i="11"/>
  <c r="T270" i="11"/>
  <c r="U270" i="11"/>
  <c r="L271" i="11"/>
  <c r="M271" i="11"/>
  <c r="N271" i="11"/>
  <c r="Q271" i="11"/>
  <c r="R271" i="11"/>
  <c r="S271" i="11"/>
  <c r="S268" i="11" s="1"/>
  <c r="Q272" i="11"/>
  <c r="R272" i="11"/>
  <c r="U272" i="11" s="1"/>
  <c r="S272" i="11"/>
  <c r="T272" i="11"/>
  <c r="O273" i="11"/>
  <c r="P273" i="11"/>
  <c r="T273" i="11"/>
  <c r="U273" i="11"/>
  <c r="L274" i="11"/>
  <c r="M274" i="11"/>
  <c r="N274" i="11"/>
  <c r="N272" i="11" s="1"/>
  <c r="T274" i="11"/>
  <c r="U274" i="11"/>
  <c r="I276" i="11"/>
  <c r="K276" i="11" s="1"/>
  <c r="J281" i="11"/>
  <c r="L283" i="11"/>
  <c r="M283" i="11"/>
  <c r="N283" i="11"/>
  <c r="Q283" i="11"/>
  <c r="R283" i="11"/>
  <c r="S283" i="11"/>
  <c r="Q284" i="11"/>
  <c r="R284" i="11"/>
  <c r="U284" i="11" s="1"/>
  <c r="S284" i="11"/>
  <c r="T284" i="11"/>
  <c r="Q285" i="11"/>
  <c r="T285" i="11" s="1"/>
  <c r="R285" i="11"/>
  <c r="U285" i="11" s="1"/>
  <c r="S285" i="11"/>
  <c r="O286" i="11"/>
  <c r="P286" i="11"/>
  <c r="T286" i="11"/>
  <c r="U286" i="11"/>
  <c r="L287" i="11"/>
  <c r="M287" i="11"/>
  <c r="N287" i="11"/>
  <c r="T287" i="11"/>
  <c r="U287" i="11"/>
  <c r="Q288" i="11"/>
  <c r="R288" i="11"/>
  <c r="U288" i="11" s="1"/>
  <c r="S288" i="11"/>
  <c r="T288" i="11"/>
  <c r="O289" i="11"/>
  <c r="P289" i="11"/>
  <c r="T289" i="11"/>
  <c r="U289" i="11"/>
  <c r="L290" i="11"/>
  <c r="O290" i="11" s="1"/>
  <c r="M290" i="11"/>
  <c r="P290" i="11" s="1"/>
  <c r="N290" i="11"/>
  <c r="N288" i="11" s="1"/>
  <c r="T290" i="11"/>
  <c r="U290" i="11"/>
  <c r="I292" i="11"/>
  <c r="K292" i="11" s="1"/>
  <c r="I293" i="11"/>
  <c r="I280" i="11" s="1"/>
  <c r="J293" i="11"/>
  <c r="J280" i="11" s="1"/>
  <c r="I295" i="11"/>
  <c r="K295" i="11" s="1"/>
  <c r="I296" i="11"/>
  <c r="K296" i="11" s="1"/>
  <c r="I298" i="11"/>
  <c r="K298" i="11" s="1"/>
  <c r="I299" i="11"/>
  <c r="K299" i="11" s="1"/>
  <c r="J302" i="11"/>
  <c r="L304" i="11"/>
  <c r="M304" i="11"/>
  <c r="N304" i="11"/>
  <c r="O304" i="11"/>
  <c r="P304" i="11"/>
  <c r="Q304" i="11"/>
  <c r="T304" i="11" s="1"/>
  <c r="R304" i="11"/>
  <c r="S304" i="11"/>
  <c r="U304" i="11"/>
  <c r="O307" i="11"/>
  <c r="P307" i="11"/>
  <c r="T307" i="11"/>
  <c r="U307" i="11"/>
  <c r="L308" i="11"/>
  <c r="L306" i="11" s="1"/>
  <c r="M308" i="11"/>
  <c r="N308" i="11"/>
  <c r="Q308" i="11"/>
  <c r="Q306" i="11" s="1"/>
  <c r="R308" i="11"/>
  <c r="R305" i="11" s="1"/>
  <c r="S308" i="11"/>
  <c r="S305" i="11" s="1"/>
  <c r="Q309" i="11"/>
  <c r="R309" i="11"/>
  <c r="U309" i="11" s="1"/>
  <c r="S309" i="11"/>
  <c r="T309" i="11"/>
  <c r="O310" i="11"/>
  <c r="P310" i="11"/>
  <c r="T310" i="11"/>
  <c r="U310" i="11"/>
  <c r="L311" i="11"/>
  <c r="O311" i="11" s="1"/>
  <c r="M311" i="11"/>
  <c r="M309" i="11" s="1"/>
  <c r="P309" i="11" s="1"/>
  <c r="N311" i="11"/>
  <c r="N309" i="11" s="1"/>
  <c r="T311" i="11"/>
  <c r="U311" i="11"/>
  <c r="I314" i="11"/>
  <c r="I302" i="11" s="1"/>
  <c r="K302" i="11" s="1"/>
  <c r="J319" i="11"/>
  <c r="L321" i="11"/>
  <c r="O321" i="11" s="1"/>
  <c r="M321" i="11"/>
  <c r="N321" i="11"/>
  <c r="Q321" i="11"/>
  <c r="R321" i="11"/>
  <c r="U321" i="11" s="1"/>
  <c r="S321" i="11"/>
  <c r="Q322" i="11"/>
  <c r="R322" i="11"/>
  <c r="S322" i="11"/>
  <c r="T322" i="11"/>
  <c r="U322" i="11"/>
  <c r="Q323" i="11"/>
  <c r="T323" i="11" s="1"/>
  <c r="R323" i="11"/>
  <c r="U323" i="11" s="1"/>
  <c r="S323" i="11"/>
  <c r="O324" i="11"/>
  <c r="P324" i="11"/>
  <c r="T324" i="11"/>
  <c r="U324" i="11"/>
  <c r="L325" i="11"/>
  <c r="M325" i="11"/>
  <c r="N325" i="11"/>
  <c r="T325" i="11"/>
  <c r="U325" i="11"/>
  <c r="Q326" i="11"/>
  <c r="R326" i="11"/>
  <c r="U326" i="11" s="1"/>
  <c r="S326" i="11"/>
  <c r="T326" i="11"/>
  <c r="O327" i="11"/>
  <c r="P327" i="11"/>
  <c r="T327" i="11"/>
  <c r="U327" i="11"/>
  <c r="L328" i="11"/>
  <c r="O328" i="11" s="1"/>
  <c r="M328" i="11"/>
  <c r="M326" i="11" s="1"/>
  <c r="P326" i="11" s="1"/>
  <c r="N328" i="11"/>
  <c r="N326" i="11" s="1"/>
  <c r="T328" i="11"/>
  <c r="U328" i="11"/>
  <c r="I330" i="11"/>
  <c r="K330" i="11" s="1"/>
  <c r="I332" i="11"/>
  <c r="R333" i="11"/>
  <c r="U333" i="11" s="1"/>
  <c r="L334" i="11"/>
  <c r="M334" i="11"/>
  <c r="N334" i="11"/>
  <c r="O334" i="11"/>
  <c r="P334" i="11"/>
  <c r="Q334" i="11"/>
  <c r="R334" i="11"/>
  <c r="S334" i="11"/>
  <c r="S333" i="11" s="1"/>
  <c r="T334" i="11"/>
  <c r="U334" i="11"/>
  <c r="Q335" i="11"/>
  <c r="T335" i="11" s="1"/>
  <c r="R335" i="11"/>
  <c r="U335" i="11" s="1"/>
  <c r="S335" i="11"/>
  <c r="Q336" i="11"/>
  <c r="T336" i="11" s="1"/>
  <c r="R336" i="11"/>
  <c r="U336" i="11" s="1"/>
  <c r="S336" i="11"/>
  <c r="O337" i="11"/>
  <c r="P337" i="11"/>
  <c r="T337" i="11"/>
  <c r="U337" i="11"/>
  <c r="L338" i="11"/>
  <c r="L336" i="11" s="1"/>
  <c r="M338" i="11"/>
  <c r="M336" i="11" s="1"/>
  <c r="N338" i="11"/>
  <c r="T338" i="11"/>
  <c r="U338" i="11"/>
  <c r="Q339" i="11"/>
  <c r="R339" i="11"/>
  <c r="S339" i="11"/>
  <c r="T339" i="11"/>
  <c r="U339" i="11"/>
  <c r="O340" i="11"/>
  <c r="P340" i="11"/>
  <c r="T340" i="11"/>
  <c r="U340" i="11"/>
  <c r="L341" i="11"/>
  <c r="M341" i="11"/>
  <c r="P341" i="11" s="1"/>
  <c r="N341" i="11"/>
  <c r="N339" i="11" s="1"/>
  <c r="T341" i="11"/>
  <c r="U341" i="11"/>
  <c r="J344" i="11"/>
  <c r="K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Q357" i="11"/>
  <c r="T357" i="11" s="1"/>
  <c r="R357" i="11"/>
  <c r="S357" i="11"/>
  <c r="S356" i="11" s="1"/>
  <c r="Q358" i="11"/>
  <c r="T358" i="11" s="1"/>
  <c r="R358" i="11"/>
  <c r="U358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L359" i="11" s="1"/>
  <c r="M361" i="11"/>
  <c r="N361" i="11"/>
  <c r="N359" i="11" s="1"/>
  <c r="T361" i="11"/>
  <c r="U361" i="11"/>
  <c r="Q362" i="11"/>
  <c r="R362" i="11"/>
  <c r="U362" i="11" s="1"/>
  <c r="S362" i="11"/>
  <c r="T362" i="11"/>
  <c r="O363" i="11"/>
  <c r="P363" i="11"/>
  <c r="T363" i="11"/>
  <c r="U363" i="11"/>
  <c r="L364" i="11"/>
  <c r="O364" i="11" s="1"/>
  <c r="M364" i="11"/>
  <c r="M362" i="11" s="1"/>
  <c r="P362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J374" i="11"/>
  <c r="L376" i="11"/>
  <c r="M376" i="11"/>
  <c r="N376" i="11"/>
  <c r="O376" i="11"/>
  <c r="Q376" i="11"/>
  <c r="R376" i="11"/>
  <c r="S376" i="11"/>
  <c r="T376" i="11"/>
  <c r="U376" i="11"/>
  <c r="O379" i="11"/>
  <c r="P379" i="11"/>
  <c r="T379" i="11"/>
  <c r="U379" i="11"/>
  <c r="L380" i="11"/>
  <c r="O380" i="11" s="1"/>
  <c r="M380" i="11"/>
  <c r="M378" i="11" s="1"/>
  <c r="P378" i="11" s="1"/>
  <c r="N380" i="11"/>
  <c r="Q380" i="11"/>
  <c r="T380" i="11" s="1"/>
  <c r="R380" i="11"/>
  <c r="R378" i="11" s="1"/>
  <c r="U378" i="11" s="1"/>
  <c r="S380" i="11"/>
  <c r="S378" i="11" s="1"/>
  <c r="Q381" i="11"/>
  <c r="T381" i="11" s="1"/>
  <c r="R381" i="11"/>
  <c r="U381" i="11" s="1"/>
  <c r="S381" i="11"/>
  <c r="O382" i="11"/>
  <c r="P382" i="11"/>
  <c r="T382" i="11"/>
  <c r="U382" i="11"/>
  <c r="L383" i="11"/>
  <c r="O383" i="11" s="1"/>
  <c r="M383" i="11"/>
  <c r="M381" i="11" s="1"/>
  <c r="P381" i="11" s="1"/>
  <c r="N383" i="11"/>
  <c r="N381" i="11" s="1"/>
  <c r="T383" i="11"/>
  <c r="U383" i="11"/>
  <c r="I385" i="11"/>
  <c r="K385" i="11" s="1"/>
  <c r="I386" i="11"/>
  <c r="K386" i="11" s="1"/>
  <c r="K387" i="11"/>
  <c r="K388" i="11"/>
  <c r="I391" i="11"/>
  <c r="K391" i="11" s="1"/>
  <c r="J391" i="11"/>
  <c r="L393" i="11"/>
  <c r="M393" i="11"/>
  <c r="N393" i="11"/>
  <c r="N392" i="11" s="1"/>
  <c r="O393" i="11"/>
  <c r="P393" i="11"/>
  <c r="Q393" i="11"/>
  <c r="R393" i="11"/>
  <c r="S393" i="11"/>
  <c r="U393" i="11"/>
  <c r="L394" i="11"/>
  <c r="M394" i="11"/>
  <c r="P394" i="11" s="1"/>
  <c r="N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R397" i="11"/>
  <c r="R394" i="11" s="1"/>
  <c r="S397" i="11"/>
  <c r="S395" i="11" s="1"/>
  <c r="L398" i="11"/>
  <c r="M398" i="11"/>
  <c r="N398" i="11"/>
  <c r="O398" i="11"/>
  <c r="P398" i="11"/>
  <c r="Q398" i="11"/>
  <c r="R398" i="11"/>
  <c r="S398" i="11"/>
  <c r="T398" i="11"/>
  <c r="U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O414" i="11"/>
  <c r="Q414" i="11"/>
  <c r="R414" i="11"/>
  <c r="S414" i="11"/>
  <c r="T414" i="11"/>
  <c r="U414" i="11"/>
  <c r="O417" i="11"/>
  <c r="P417" i="11"/>
  <c r="T417" i="11"/>
  <c r="U417" i="11"/>
  <c r="L418" i="11"/>
  <c r="M418" i="11"/>
  <c r="N418" i="11"/>
  <c r="N416" i="11" s="1"/>
  <c r="Q418" i="11"/>
  <c r="R418" i="11"/>
  <c r="S418" i="11"/>
  <c r="Q419" i="11"/>
  <c r="T419" i="11" s="1"/>
  <c r="R419" i="11"/>
  <c r="U419" i="11" s="1"/>
  <c r="S419" i="11"/>
  <c r="O420" i="11"/>
  <c r="P420" i="11"/>
  <c r="T420" i="11"/>
  <c r="U420" i="11"/>
  <c r="L421" i="11"/>
  <c r="M421" i="11"/>
  <c r="M419" i="11" s="1"/>
  <c r="P419" i="11" s="1"/>
  <c r="N421" i="11"/>
  <c r="N419" i="11" s="1"/>
  <c r="T421" i="11"/>
  <c r="U421" i="11"/>
  <c r="I424" i="11"/>
  <c r="J424" i="11"/>
  <c r="I425" i="11"/>
  <c r="K425" i="11" s="1"/>
  <c r="J425" i="11"/>
  <c r="I432" i="11"/>
  <c r="J432" i="11"/>
  <c r="I433" i="11"/>
  <c r="K433" i="11" s="1"/>
  <c r="J433" i="11"/>
  <c r="I440" i="11"/>
  <c r="I441" i="11"/>
  <c r="K441" i="11" s="1"/>
  <c r="J446" i="11"/>
  <c r="J440" i="11" s="1"/>
  <c r="J423" i="11" s="1"/>
  <c r="J412" i="11" s="1"/>
  <c r="J447" i="11"/>
  <c r="J441" i="11" s="1"/>
  <c r="I457" i="11"/>
  <c r="I456" i="11" s="1"/>
  <c r="I458" i="11"/>
  <c r="J458" i="11"/>
  <c r="J459" i="11"/>
  <c r="J457" i="11" s="1"/>
  <c r="J456" i="11" s="1"/>
  <c r="J460" i="11"/>
  <c r="J467" i="11"/>
  <c r="J468" i="11"/>
  <c r="J475" i="11"/>
  <c r="K475" i="11"/>
  <c r="J476" i="11"/>
  <c r="K476" i="11"/>
  <c r="J477" i="11"/>
  <c r="K477" i="11"/>
  <c r="I484" i="11"/>
  <c r="J484" i="11"/>
  <c r="I485" i="11"/>
  <c r="K485" i="11" s="1"/>
  <c r="J485" i="11"/>
  <c r="L494" i="11"/>
  <c r="M494" i="11"/>
  <c r="N494" i="11"/>
  <c r="O494" i="11"/>
  <c r="Q494" i="11"/>
  <c r="R494" i="11"/>
  <c r="S494" i="11"/>
  <c r="T494" i="11"/>
  <c r="U494" i="11"/>
  <c r="O497" i="11"/>
  <c r="P497" i="11"/>
  <c r="T497" i="11"/>
  <c r="U497" i="11"/>
  <c r="L498" i="11"/>
  <c r="M498" i="11"/>
  <c r="N498" i="11"/>
  <c r="Q498" i="11"/>
  <c r="R498" i="11"/>
  <c r="S498" i="11"/>
  <c r="Q499" i="11"/>
  <c r="T499" i="11" s="1"/>
  <c r="R499" i="11"/>
  <c r="U499" i="11" s="1"/>
  <c r="S499" i="11"/>
  <c r="O500" i="11"/>
  <c r="P500" i="11"/>
  <c r="T500" i="11"/>
  <c r="U500" i="11"/>
  <c r="L501" i="11"/>
  <c r="L499" i="11" s="1"/>
  <c r="O499" i="11" s="1"/>
  <c r="M501" i="11"/>
  <c r="M499" i="11" s="1"/>
  <c r="P499" i="11" s="1"/>
  <c r="N501" i="11"/>
  <c r="N499" i="11" s="1"/>
  <c r="T501" i="11"/>
  <c r="U501" i="11"/>
  <c r="I503" i="11"/>
  <c r="I492" i="11" s="1"/>
  <c r="K492" i="11" s="1"/>
  <c r="I504" i="1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P514" i="11" s="1"/>
  <c r="N514" i="11"/>
  <c r="Q514" i="11"/>
  <c r="T514" i="11" s="1"/>
  <c r="R514" i="11"/>
  <c r="R513" i="11" s="1"/>
  <c r="U513" i="11" s="1"/>
  <c r="S514" i="11"/>
  <c r="U514" i="11"/>
  <c r="Q515" i="11"/>
  <c r="R515" i="11"/>
  <c r="S515" i="11"/>
  <c r="T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M518" i="11"/>
  <c r="N518" i="11"/>
  <c r="T518" i="11"/>
  <c r="U518" i="11"/>
  <c r="Q519" i="11"/>
  <c r="R519" i="11"/>
  <c r="S519" i="11"/>
  <c r="T519" i="11"/>
  <c r="U519" i="11"/>
  <c r="O520" i="11"/>
  <c r="P520" i="11"/>
  <c r="T520" i="11"/>
  <c r="U520" i="11"/>
  <c r="L521" i="1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P535" i="11" s="1"/>
  <c r="N535" i="11"/>
  <c r="Q535" i="11"/>
  <c r="R535" i="11"/>
  <c r="S535" i="11"/>
  <c r="S534" i="11" s="1"/>
  <c r="T535" i="11"/>
  <c r="Q536" i="11"/>
  <c r="Q534" i="11" s="1"/>
  <c r="T534" i="11" s="1"/>
  <c r="R536" i="11"/>
  <c r="S536" i="11"/>
  <c r="T536" i="11"/>
  <c r="U536" i="11"/>
  <c r="Q537" i="11"/>
  <c r="T537" i="11" s="1"/>
  <c r="R537" i="11"/>
  <c r="U537" i="11" s="1"/>
  <c r="S537" i="11"/>
  <c r="O538" i="11"/>
  <c r="P538" i="11"/>
  <c r="T538" i="11"/>
  <c r="U538" i="11"/>
  <c r="L539" i="11"/>
  <c r="L537" i="11" s="1"/>
  <c r="O537" i="11" s="1"/>
  <c r="M539" i="11"/>
  <c r="N539" i="1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M542" i="11"/>
  <c r="N542" i="11"/>
  <c r="T542" i="11"/>
  <c r="U542" i="11"/>
  <c r="K544" i="11"/>
  <c r="I554" i="11"/>
  <c r="K554" i="11" s="1"/>
  <c r="J554" i="11"/>
  <c r="S555" i="11"/>
  <c r="L556" i="11"/>
  <c r="O556" i="11" s="1"/>
  <c r="M556" i="11"/>
  <c r="P556" i="11" s="1"/>
  <c r="N556" i="11"/>
  <c r="Q556" i="11"/>
  <c r="T556" i="11" s="1"/>
  <c r="R556" i="11"/>
  <c r="S556" i="11"/>
  <c r="Q557" i="11"/>
  <c r="T557" i="11" s="1"/>
  <c r="R557" i="11"/>
  <c r="U557" i="11" s="1"/>
  <c r="S557" i="11"/>
  <c r="Q558" i="11"/>
  <c r="R558" i="11"/>
  <c r="U558" i="11" s="1"/>
  <c r="S558" i="11"/>
  <c r="T558" i="11"/>
  <c r="O559" i="11"/>
  <c r="P559" i="11"/>
  <c r="T559" i="11"/>
  <c r="U559" i="11"/>
  <c r="L560" i="11"/>
  <c r="M560" i="11"/>
  <c r="N560" i="11"/>
  <c r="N558" i="11" s="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O563" i="11" s="1"/>
  <c r="M563" i="11"/>
  <c r="N563" i="11"/>
  <c r="N561" i="11" s="1"/>
  <c r="T563" i="11"/>
  <c r="U563" i="11"/>
  <c r="I575" i="11"/>
  <c r="K575" i="11" s="1"/>
  <c r="J575" i="11"/>
  <c r="L577" i="11"/>
  <c r="M577" i="11"/>
  <c r="N577" i="11"/>
  <c r="Q577" i="11"/>
  <c r="R577" i="11"/>
  <c r="S577" i="11"/>
  <c r="S576" i="11" s="1"/>
  <c r="Q578" i="11"/>
  <c r="T578" i="11" s="1"/>
  <c r="R578" i="11"/>
  <c r="U578" i="11" s="1"/>
  <c r="S578" i="11"/>
  <c r="Q579" i="11"/>
  <c r="T579" i="11" s="1"/>
  <c r="R579" i="11"/>
  <c r="U579" i="11" s="1"/>
  <c r="S579" i="11"/>
  <c r="O580" i="11"/>
  <c r="P580" i="11"/>
  <c r="T580" i="11"/>
  <c r="U580" i="11"/>
  <c r="L581" i="11"/>
  <c r="L579" i="11" s="1"/>
  <c r="O579" i="11" s="1"/>
  <c r="M581" i="11"/>
  <c r="M579" i="11" s="1"/>
  <c r="P579" i="11" s="1"/>
  <c r="N581" i="11"/>
  <c r="N579" i="11" s="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M584" i="11"/>
  <c r="P584" i="11" s="1"/>
  <c r="N584" i="11"/>
  <c r="N582" i="11" s="1"/>
  <c r="T584" i="11"/>
  <c r="U584" i="11"/>
  <c r="L600" i="11"/>
  <c r="M600" i="11"/>
  <c r="N600" i="11"/>
  <c r="Q600" i="11"/>
  <c r="R600" i="11"/>
  <c r="S600" i="11"/>
  <c r="O603" i="11"/>
  <c r="P603" i="11"/>
  <c r="T603" i="11"/>
  <c r="U603" i="11"/>
  <c r="L604" i="11"/>
  <c r="M604" i="11"/>
  <c r="M602" i="11" s="1"/>
  <c r="N604" i="11"/>
  <c r="Q604" i="11"/>
  <c r="Q602" i="11" s="1"/>
  <c r="T602" i="11" s="1"/>
  <c r="R604" i="11"/>
  <c r="R602" i="11" s="1"/>
  <c r="U602" i="11" s="1"/>
  <c r="S604" i="11"/>
  <c r="O606" i="11"/>
  <c r="P606" i="11"/>
  <c r="T606" i="11"/>
  <c r="U606" i="11"/>
  <c r="L607" i="11"/>
  <c r="L605" i="11" s="1"/>
  <c r="O605" i="11" s="1"/>
  <c r="M607" i="11"/>
  <c r="M605" i="11" s="1"/>
  <c r="P605" i="11" s="1"/>
  <c r="N607" i="11"/>
  <c r="N605" i="11" s="1"/>
  <c r="Q607" i="11"/>
  <c r="T607" i="11" s="1"/>
  <c r="R607" i="11"/>
  <c r="R605" i="11" s="1"/>
  <c r="U605" i="11" s="1"/>
  <c r="S607" i="11"/>
  <c r="S605" i="11" s="1"/>
  <c r="M616" i="11"/>
  <c r="P616" i="11" s="1"/>
  <c r="N616" i="11"/>
  <c r="L617" i="11"/>
  <c r="M617" i="11"/>
  <c r="N617" i="11"/>
  <c r="O617" i="11"/>
  <c r="P617" i="11"/>
  <c r="Q617" i="11"/>
  <c r="R617" i="11"/>
  <c r="U617" i="11" s="1"/>
  <c r="S617" i="11"/>
  <c r="L618" i="11"/>
  <c r="O618" i="11" s="1"/>
  <c r="M618" i="11"/>
  <c r="P618" i="11" s="1"/>
  <c r="N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S621" i="11"/>
  <c r="L622" i="11"/>
  <c r="O622" i="11" s="1"/>
  <c r="M622" i="11"/>
  <c r="N622" i="11"/>
  <c r="P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I615" i="11" s="1"/>
  <c r="K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M643" i="11"/>
  <c r="N643" i="11"/>
  <c r="P643" i="11"/>
  <c r="Q643" i="11"/>
  <c r="R643" i="11"/>
  <c r="U643" i="11" s="1"/>
  <c r="S643" i="11"/>
  <c r="L644" i="11"/>
  <c r="O644" i="11" s="1"/>
  <c r="M644" i="1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5" i="11" s="1"/>
  <c r="R647" i="11"/>
  <c r="R645" i="11" s="1"/>
  <c r="U645" i="11" s="1"/>
  <c r="S647" i="11"/>
  <c r="S644" i="11" s="1"/>
  <c r="S642" i="11" s="1"/>
  <c r="L648" i="11"/>
  <c r="M648" i="11"/>
  <c r="N648" i="11"/>
  <c r="O648" i="11"/>
  <c r="P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J661" i="11"/>
  <c r="J671" i="11"/>
  <c r="J672" i="11"/>
  <c r="I673" i="11"/>
  <c r="K673" i="11" s="1"/>
  <c r="J673" i="11"/>
  <c r="I674" i="11"/>
  <c r="I675" i="11"/>
  <c r="I676" i="11"/>
  <c r="J676" i="11"/>
  <c r="J677" i="11"/>
  <c r="I678" i="1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L690" i="11" s="1"/>
  <c r="O690" i="11" s="1"/>
  <c r="M691" i="11"/>
  <c r="N691" i="11"/>
  <c r="N690" i="11" s="1"/>
  <c r="Q691" i="11"/>
  <c r="R691" i="11"/>
  <c r="U691" i="11" s="1"/>
  <c r="S691" i="11"/>
  <c r="T691" i="11"/>
  <c r="L692" i="11"/>
  <c r="O692" i="11" s="1"/>
  <c r="M692" i="11"/>
  <c r="N692" i="11"/>
  <c r="P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2" i="11" s="1"/>
  <c r="S695" i="11"/>
  <c r="L696" i="11"/>
  <c r="M696" i="11"/>
  <c r="P696" i="11" s="1"/>
  <c r="N696" i="11"/>
  <c r="O696" i="11"/>
  <c r="Q696" i="11"/>
  <c r="T696" i="11" s="1"/>
  <c r="R696" i="11"/>
  <c r="S696" i="11"/>
  <c r="U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4" i="11"/>
  <c r="O714" i="11" s="1"/>
  <c r="L715" i="11"/>
  <c r="O715" i="11" s="1"/>
  <c r="M715" i="11"/>
  <c r="N715" i="11"/>
  <c r="Q715" i="11"/>
  <c r="R715" i="11"/>
  <c r="U715" i="11" s="1"/>
  <c r="S715" i="11"/>
  <c r="L716" i="11"/>
  <c r="M716" i="11"/>
  <c r="P716" i="11" s="1"/>
  <c r="N716" i="11"/>
  <c r="O716" i="11"/>
  <c r="Q716" i="11"/>
  <c r="R716" i="11"/>
  <c r="S716" i="11"/>
  <c r="T716" i="11"/>
  <c r="U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J727" i="11"/>
  <c r="L729" i="11"/>
  <c r="O729" i="11" s="1"/>
  <c r="M729" i="11"/>
  <c r="N729" i="11"/>
  <c r="Q729" i="11"/>
  <c r="R729" i="11"/>
  <c r="U729" i="11" s="1"/>
  <c r="S729" i="11"/>
  <c r="T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R733" i="11"/>
  <c r="R731" i="11" s="1"/>
  <c r="S733" i="11"/>
  <c r="L734" i="11"/>
  <c r="M734" i="11"/>
  <c r="P734" i="11" s="1"/>
  <c r="N734" i="11"/>
  <c r="O734" i="11"/>
  <c r="Q734" i="11"/>
  <c r="T734" i="11" s="1"/>
  <c r="R734" i="11"/>
  <c r="S734" i="11"/>
  <c r="U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M760" i="11" s="1"/>
  <c r="P760" i="11" s="1"/>
  <c r="N761" i="11"/>
  <c r="N760" i="11" s="1"/>
  <c r="O761" i="11"/>
  <c r="Q761" i="11"/>
  <c r="R761" i="11"/>
  <c r="S761" i="11"/>
  <c r="T761" i="11"/>
  <c r="U761" i="11"/>
  <c r="L762" i="11"/>
  <c r="M762" i="11"/>
  <c r="N762" i="11"/>
  <c r="P762" i="11"/>
  <c r="L763" i="11"/>
  <c r="M763" i="11"/>
  <c r="P763" i="11" s="1"/>
  <c r="N763" i="11"/>
  <c r="O763" i="11"/>
  <c r="O764" i="11"/>
  <c r="P764" i="11"/>
  <c r="T764" i="11"/>
  <c r="U764" i="11"/>
  <c r="O765" i="11"/>
  <c r="P765" i="11"/>
  <c r="Q765" i="11"/>
  <c r="Q762" i="11" s="1"/>
  <c r="R765" i="11"/>
  <c r="R763" i="11" s="1"/>
  <c r="S765" i="11"/>
  <c r="S763" i="11" s="1"/>
  <c r="L766" i="11"/>
  <c r="O766" i="11" s="1"/>
  <c r="M766" i="11"/>
  <c r="N766" i="11"/>
  <c r="P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I759" i="11" s="1"/>
  <c r="K759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L19" i="10" s="1"/>
  <c r="M22" i="10"/>
  <c r="N22" i="10"/>
  <c r="Q22" i="10"/>
  <c r="T22" i="10" s="1"/>
  <c r="R22" i="10"/>
  <c r="R19" i="10" s="1"/>
  <c r="S22" i="10"/>
  <c r="L25" i="10"/>
  <c r="M25" i="10"/>
  <c r="N25" i="10"/>
  <c r="O25" i="10"/>
  <c r="Q25" i="10"/>
  <c r="T25" i="10" s="1"/>
  <c r="R25" i="10"/>
  <c r="U25" i="10" s="1"/>
  <c r="S25" i="10"/>
  <c r="L45" i="10"/>
  <c r="O45" i="10" s="1"/>
  <c r="M45" i="10"/>
  <c r="P45" i="10" s="1"/>
  <c r="N45" i="10"/>
  <c r="Q45" i="10"/>
  <c r="R45" i="10"/>
  <c r="U45" i="10" s="1"/>
  <c r="S45" i="10"/>
  <c r="T45" i="10"/>
  <c r="Q46" i="10"/>
  <c r="T46" i="10" s="1"/>
  <c r="R46" i="10"/>
  <c r="U46" i="10" s="1"/>
  <c r="S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L50" i="10" s="1"/>
  <c r="O50" i="10" s="1"/>
  <c r="M52" i="10"/>
  <c r="N52" i="10"/>
  <c r="T52" i="10"/>
  <c r="U52" i="10"/>
  <c r="L60" i="10"/>
  <c r="O60" i="10" s="1"/>
  <c r="M60" i="10"/>
  <c r="N60" i="10"/>
  <c r="P60" i="10"/>
  <c r="Q60" i="10"/>
  <c r="Q59" i="10" s="1"/>
  <c r="T59" i="10" s="1"/>
  <c r="R60" i="10"/>
  <c r="U60" i="10" s="1"/>
  <c r="S60" i="10"/>
  <c r="Q61" i="10"/>
  <c r="R61" i="10"/>
  <c r="U61" i="10" s="1"/>
  <c r="S61" i="10"/>
  <c r="S59" i="10" s="1"/>
  <c r="T61" i="10"/>
  <c r="Q62" i="10"/>
  <c r="R62" i="10"/>
  <c r="U62" i="10" s="1"/>
  <c r="S62" i="10"/>
  <c r="T62" i="10"/>
  <c r="O63" i="10"/>
  <c r="P63" i="10"/>
  <c r="T63" i="10"/>
  <c r="U63" i="10"/>
  <c r="L64" i="10"/>
  <c r="L62" i="10" s="1"/>
  <c r="M64" i="10"/>
  <c r="M62" i="10" s="1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L65" i="10" s="1"/>
  <c r="M67" i="10"/>
  <c r="N67" i="10"/>
  <c r="N65" i="10" s="1"/>
  <c r="T67" i="10"/>
  <c r="U67" i="10"/>
  <c r="L73" i="10"/>
  <c r="O73" i="10" s="1"/>
  <c r="M73" i="10"/>
  <c r="N73" i="10"/>
  <c r="P73" i="10"/>
  <c r="Q73" i="10"/>
  <c r="R73" i="10"/>
  <c r="U73" i="10" s="1"/>
  <c r="S73" i="10"/>
  <c r="O76" i="10"/>
  <c r="P76" i="10"/>
  <c r="T76" i="10"/>
  <c r="U76" i="10"/>
  <c r="L77" i="10"/>
  <c r="M77" i="10"/>
  <c r="M75" i="10" s="1"/>
  <c r="N77" i="10"/>
  <c r="N75" i="10" s="1"/>
  <c r="Q77" i="10"/>
  <c r="R77" i="10"/>
  <c r="R75" i="10" s="1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K85" i="10" s="1"/>
  <c r="I86" i="10"/>
  <c r="K86" i="10" s="1"/>
  <c r="I87" i="10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T95" i="10"/>
  <c r="O98" i="10"/>
  <c r="P98" i="10"/>
  <c r="T98" i="10"/>
  <c r="U98" i="10"/>
  <c r="L99" i="10"/>
  <c r="M99" i="10"/>
  <c r="N99" i="10"/>
  <c r="Q99" i="10"/>
  <c r="Q97" i="10" s="1"/>
  <c r="R99" i="10"/>
  <c r="S99" i="10"/>
  <c r="S96" i="10" s="1"/>
  <c r="S94" i="10" s="1"/>
  <c r="Q100" i="10"/>
  <c r="R100" i="10"/>
  <c r="U100" i="10" s="1"/>
  <c r="S100" i="10"/>
  <c r="T100" i="10"/>
  <c r="O101" i="10"/>
  <c r="P101" i="10"/>
  <c r="T101" i="10"/>
  <c r="U101" i="10"/>
  <c r="L102" i="10"/>
  <c r="O102" i="10" s="1"/>
  <c r="M102" i="10"/>
  <c r="M100" i="10" s="1"/>
  <c r="P100" i="10" s="1"/>
  <c r="N102" i="10"/>
  <c r="N100" i="10" s="1"/>
  <c r="T102" i="10"/>
  <c r="U102" i="10"/>
  <c r="I108" i="10"/>
  <c r="I92" i="10" s="1"/>
  <c r="K92" i="10" s="1"/>
  <c r="I109" i="10"/>
  <c r="I93" i="10" s="1"/>
  <c r="K93" i="10" s="1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T118" i="10" s="1"/>
  <c r="R118" i="10"/>
  <c r="U118" i="10" s="1"/>
  <c r="S118" i="10"/>
  <c r="O121" i="10"/>
  <c r="P121" i="10"/>
  <c r="T121" i="10"/>
  <c r="U121" i="10"/>
  <c r="L122" i="10"/>
  <c r="M122" i="10"/>
  <c r="P122" i="10" s="1"/>
  <c r="N122" i="10"/>
  <c r="Q122" i="10"/>
  <c r="R122" i="10"/>
  <c r="S122" i="10"/>
  <c r="O124" i="10"/>
  <c r="P124" i="10"/>
  <c r="T124" i="10"/>
  <c r="U124" i="10"/>
  <c r="L125" i="10"/>
  <c r="L123" i="10" s="1"/>
  <c r="O123" i="10" s="1"/>
  <c r="M125" i="10"/>
  <c r="M123" i="10" s="1"/>
  <c r="P123" i="10" s="1"/>
  <c r="N125" i="10"/>
  <c r="N123" i="10" s="1"/>
  <c r="Q125" i="10"/>
  <c r="T125" i="10" s="1"/>
  <c r="R125" i="10"/>
  <c r="R123" i="10" s="1"/>
  <c r="U123" i="10" s="1"/>
  <c r="S125" i="10"/>
  <c r="S123" i="10" s="1"/>
  <c r="I127" i="10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O140" i="10"/>
  <c r="Q140" i="10"/>
  <c r="R140" i="10"/>
  <c r="S140" i="10"/>
  <c r="U140" i="10"/>
  <c r="O143" i="10"/>
  <c r="P143" i="10"/>
  <c r="T143" i="10"/>
  <c r="U143" i="10"/>
  <c r="L144" i="10"/>
  <c r="L142" i="10" s="1"/>
  <c r="O142" i="10" s="1"/>
  <c r="M144" i="10"/>
  <c r="P144" i="10" s="1"/>
  <c r="N144" i="10"/>
  <c r="Q144" i="10"/>
  <c r="T144" i="10" s="1"/>
  <c r="R144" i="10"/>
  <c r="R142" i="10" s="1"/>
  <c r="U142" i="10" s="1"/>
  <c r="S144" i="10"/>
  <c r="O146" i="10"/>
  <c r="P146" i="10"/>
  <c r="T146" i="10"/>
  <c r="U146" i="10"/>
  <c r="L147" i="10"/>
  <c r="L145" i="10" s="1"/>
  <c r="O145" i="10" s="1"/>
  <c r="M147" i="10"/>
  <c r="P147" i="10" s="1"/>
  <c r="N147" i="10"/>
  <c r="N145" i="10" s="1"/>
  <c r="Q147" i="10"/>
  <c r="R147" i="10"/>
  <c r="R145" i="10" s="1"/>
  <c r="U145" i="10" s="1"/>
  <c r="S147" i="10"/>
  <c r="S145" i="10" s="1"/>
  <c r="I150" i="10"/>
  <c r="K150" i="10" s="1"/>
  <c r="I151" i="10"/>
  <c r="K151" i="10" s="1"/>
  <c r="I152" i="10"/>
  <c r="K152" i="10" s="1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Q158" i="10"/>
  <c r="R158" i="10"/>
  <c r="U158" i="10" s="1"/>
  <c r="S158" i="10"/>
  <c r="T158" i="10"/>
  <c r="O161" i="10"/>
  <c r="P161" i="10"/>
  <c r="T161" i="10"/>
  <c r="U161" i="10"/>
  <c r="L162" i="10"/>
  <c r="M162" i="10"/>
  <c r="N162" i="10"/>
  <c r="Q162" i="10"/>
  <c r="Q159" i="10" s="1"/>
  <c r="Q157" i="10" s="1"/>
  <c r="T157" i="10" s="1"/>
  <c r="R162" i="10"/>
  <c r="R160" i="10" s="1"/>
  <c r="U160" i="10" s="1"/>
  <c r="S162" i="10"/>
  <c r="S159" i="10" s="1"/>
  <c r="Q163" i="10"/>
  <c r="T163" i="10" s="1"/>
  <c r="R163" i="10"/>
  <c r="U163" i="10" s="1"/>
  <c r="S163" i="10"/>
  <c r="O164" i="10"/>
  <c r="P164" i="10"/>
  <c r="T164" i="10"/>
  <c r="U164" i="10"/>
  <c r="L165" i="10"/>
  <c r="L163" i="10" s="1"/>
  <c r="O163" i="10" s="1"/>
  <c r="M165" i="10"/>
  <c r="M163" i="10" s="1"/>
  <c r="P163" i="10" s="1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O174" i="10" s="1"/>
  <c r="M174" i="10"/>
  <c r="N174" i="10"/>
  <c r="P174" i="10"/>
  <c r="Q174" i="10"/>
  <c r="R174" i="10"/>
  <c r="U174" i="10" s="1"/>
  <c r="S174" i="10"/>
  <c r="O177" i="10"/>
  <c r="P177" i="10"/>
  <c r="T177" i="10"/>
  <c r="U177" i="10"/>
  <c r="L178" i="10"/>
  <c r="L176" i="10" s="1"/>
  <c r="M178" i="10"/>
  <c r="M176" i="10" s="1"/>
  <c r="N178" i="10"/>
  <c r="Q178" i="10"/>
  <c r="Q175" i="10" s="1"/>
  <c r="T175" i="10" s="1"/>
  <c r="R178" i="10"/>
  <c r="U178" i="10" s="1"/>
  <c r="S178" i="10"/>
  <c r="Q179" i="10"/>
  <c r="T179" i="10" s="1"/>
  <c r="R179" i="10"/>
  <c r="S179" i="10"/>
  <c r="U179" i="10"/>
  <c r="O180" i="10"/>
  <c r="P180" i="10"/>
  <c r="T180" i="10"/>
  <c r="U180" i="10"/>
  <c r="L181" i="10"/>
  <c r="O181" i="10" s="1"/>
  <c r="M181" i="10"/>
  <c r="M179" i="10" s="1"/>
  <c r="P179" i="10" s="1"/>
  <c r="N181" i="10"/>
  <c r="N179" i="10" s="1"/>
  <c r="T181" i="10"/>
  <c r="U181" i="10"/>
  <c r="I183" i="10"/>
  <c r="K183" i="10" s="1"/>
  <c r="K184" i="10"/>
  <c r="L187" i="10"/>
  <c r="M187" i="10"/>
  <c r="N187" i="10"/>
  <c r="P187" i="10"/>
  <c r="Q187" i="10"/>
  <c r="R187" i="10"/>
  <c r="S187" i="10"/>
  <c r="U187" i="10"/>
  <c r="O190" i="10"/>
  <c r="P190" i="10"/>
  <c r="T190" i="10"/>
  <c r="U190" i="10"/>
  <c r="L191" i="10"/>
  <c r="L189" i="10" s="1"/>
  <c r="M191" i="10"/>
  <c r="N191" i="10"/>
  <c r="N189" i="10" s="1"/>
  <c r="Q191" i="10"/>
  <c r="R191" i="10"/>
  <c r="S191" i="10"/>
  <c r="S189" i="10" s="1"/>
  <c r="O193" i="10"/>
  <c r="P193" i="10"/>
  <c r="T193" i="10"/>
  <c r="U193" i="10"/>
  <c r="L194" i="10"/>
  <c r="O194" i="10" s="1"/>
  <c r="M194" i="10"/>
  <c r="M192" i="10" s="1"/>
  <c r="P192" i="10" s="1"/>
  <c r="N194" i="10"/>
  <c r="N192" i="10" s="1"/>
  <c r="Q194" i="10"/>
  <c r="R194" i="10"/>
  <c r="U194" i="10" s="1"/>
  <c r="S194" i="10"/>
  <c r="J195" i="10"/>
  <c r="L196" i="10"/>
  <c r="O196" i="10" s="1"/>
  <c r="P196" i="10"/>
  <c r="I198" i="10"/>
  <c r="K198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K209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K220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N233" i="10"/>
  <c r="N234" i="10"/>
  <c r="N235" i="10"/>
  <c r="N236" i="10"/>
  <c r="J238" i="10"/>
  <c r="I240" i="10"/>
  <c r="J240" i="10"/>
  <c r="K240" i="10"/>
  <c r="I241" i="10"/>
  <c r="J241" i="10"/>
  <c r="K241" i="10"/>
  <c r="J242" i="10"/>
  <c r="J231" i="10" s="1"/>
  <c r="J185" i="10" s="1"/>
  <c r="N243" i="10"/>
  <c r="P243" i="10"/>
  <c r="L244" i="10"/>
  <c r="L245" i="10"/>
  <c r="L246" i="10"/>
  <c r="L247" i="10"/>
  <c r="I249" i="10"/>
  <c r="K251" i="10"/>
  <c r="K252" i="10"/>
  <c r="J253" i="10"/>
  <c r="N254" i="10"/>
  <c r="N232" i="10" s="1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O267" i="10" s="1"/>
  <c r="M267" i="10"/>
  <c r="N267" i="10"/>
  <c r="Q267" i="10"/>
  <c r="R267" i="10"/>
  <c r="U267" i="10" s="1"/>
  <c r="S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R268" i="10" s="1"/>
  <c r="S271" i="10"/>
  <c r="Q272" i="10"/>
  <c r="T272" i="10" s="1"/>
  <c r="R272" i="10"/>
  <c r="U272" i="10" s="1"/>
  <c r="S272" i="10"/>
  <c r="O273" i="10"/>
  <c r="P273" i="10"/>
  <c r="T273" i="10"/>
  <c r="U273" i="10"/>
  <c r="L274" i="10"/>
  <c r="M274" i="10"/>
  <c r="M272" i="10" s="1"/>
  <c r="P272" i="10" s="1"/>
  <c r="N274" i="10"/>
  <c r="N272" i="10" s="1"/>
  <c r="T274" i="10"/>
  <c r="U274" i="10"/>
  <c r="I276" i="10"/>
  <c r="K276" i="10" s="1"/>
  <c r="J281" i="10"/>
  <c r="L283" i="10"/>
  <c r="M283" i="10"/>
  <c r="P283" i="10" s="1"/>
  <c r="N283" i="10"/>
  <c r="O283" i="10"/>
  <c r="Q283" i="10"/>
  <c r="R283" i="10"/>
  <c r="U283" i="10" s="1"/>
  <c r="S283" i="10"/>
  <c r="S282" i="10" s="1"/>
  <c r="Q284" i="10"/>
  <c r="T284" i="10" s="1"/>
  <c r="R284" i="10"/>
  <c r="U284" i="10" s="1"/>
  <c r="S284" i="10"/>
  <c r="Q285" i="10"/>
  <c r="R285" i="10"/>
  <c r="S285" i="10"/>
  <c r="T285" i="10"/>
  <c r="U285" i="10"/>
  <c r="O286" i="10"/>
  <c r="P286" i="10"/>
  <c r="T286" i="10"/>
  <c r="U286" i="10"/>
  <c r="L287" i="10"/>
  <c r="M287" i="10"/>
  <c r="M285" i="10" s="1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L288" i="10" s="1"/>
  <c r="O288" i="10" s="1"/>
  <c r="M290" i="10"/>
  <c r="P290" i="10" s="1"/>
  <c r="N290" i="10"/>
  <c r="N288" i="10" s="1"/>
  <c r="T290" i="10"/>
  <c r="U290" i="10"/>
  <c r="I292" i="10"/>
  <c r="I281" i="10" s="1"/>
  <c r="I293" i="10"/>
  <c r="J293" i="10"/>
  <c r="J280" i="10" s="1"/>
  <c r="I295" i="10"/>
  <c r="K295" i="10" s="1"/>
  <c r="I296" i="10"/>
  <c r="K296" i="10" s="1"/>
  <c r="I298" i="10"/>
  <c r="K298" i="10" s="1"/>
  <c r="I299" i="10"/>
  <c r="K299" i="10" s="1"/>
  <c r="J302" i="10"/>
  <c r="L304" i="10"/>
  <c r="M304" i="10"/>
  <c r="N304" i="10"/>
  <c r="Q304" i="10"/>
  <c r="R304" i="10"/>
  <c r="U304" i="10" s="1"/>
  <c r="S304" i="10"/>
  <c r="T304" i="10"/>
  <c r="O307" i="10"/>
  <c r="P307" i="10"/>
  <c r="T307" i="10"/>
  <c r="U307" i="10"/>
  <c r="L308" i="10"/>
  <c r="L306" i="10" s="1"/>
  <c r="O306" i="10" s="1"/>
  <c r="M308" i="10"/>
  <c r="N308" i="10"/>
  <c r="Q308" i="10"/>
  <c r="Q305" i="10" s="1"/>
  <c r="R308" i="10"/>
  <c r="R306" i="10" s="1"/>
  <c r="S308" i="10"/>
  <c r="S306" i="10" s="1"/>
  <c r="Q309" i="10"/>
  <c r="T309" i="10" s="1"/>
  <c r="R309" i="10"/>
  <c r="U309" i="10" s="1"/>
  <c r="S309" i="10"/>
  <c r="O310" i="10"/>
  <c r="P310" i="10"/>
  <c r="T310" i="10"/>
  <c r="U310" i="10"/>
  <c r="L311" i="10"/>
  <c r="L309" i="10" s="1"/>
  <c r="O309" i="10" s="1"/>
  <c r="M311" i="10"/>
  <c r="M309" i="10" s="1"/>
  <c r="P309" i="10" s="1"/>
  <c r="N311" i="10"/>
  <c r="N309" i="10" s="1"/>
  <c r="T311" i="10"/>
  <c r="U311" i="10"/>
  <c r="I314" i="10"/>
  <c r="K314" i="10" s="1"/>
  <c r="J319" i="10"/>
  <c r="L321" i="10"/>
  <c r="M321" i="10"/>
  <c r="P321" i="10" s="1"/>
  <c r="N321" i="10"/>
  <c r="Q321" i="10"/>
  <c r="R321" i="10"/>
  <c r="U321" i="10" s="1"/>
  <c r="S321" i="10"/>
  <c r="S320" i="10" s="1"/>
  <c r="T321" i="10"/>
  <c r="Q322" i="10"/>
  <c r="R322" i="10"/>
  <c r="U322" i="10" s="1"/>
  <c r="S322" i="10"/>
  <c r="T322" i="10"/>
  <c r="Q323" i="10"/>
  <c r="R323" i="10"/>
  <c r="U323" i="10" s="1"/>
  <c r="S323" i="10"/>
  <c r="T323" i="10"/>
  <c r="O324" i="10"/>
  <c r="P324" i="10"/>
  <c r="T324" i="10"/>
  <c r="U324" i="10"/>
  <c r="L325" i="10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O328" i="10" s="1"/>
  <c r="M328" i="10"/>
  <c r="M326" i="10" s="1"/>
  <c r="P326" i="10" s="1"/>
  <c r="N328" i="10"/>
  <c r="N326" i="10" s="1"/>
  <c r="T328" i="10"/>
  <c r="U328" i="10"/>
  <c r="I330" i="10"/>
  <c r="K330" i="10" s="1"/>
  <c r="I332" i="10"/>
  <c r="L334" i="10"/>
  <c r="M334" i="10"/>
  <c r="P334" i="10" s="1"/>
  <c r="N334" i="10"/>
  <c r="O334" i="10"/>
  <c r="Q334" i="10"/>
  <c r="T334" i="10" s="1"/>
  <c r="R334" i="10"/>
  <c r="U334" i="10" s="1"/>
  <c r="S334" i="10"/>
  <c r="S333" i="10" s="1"/>
  <c r="Q335" i="10"/>
  <c r="R335" i="10"/>
  <c r="U335" i="10" s="1"/>
  <c r="S335" i="10"/>
  <c r="Q336" i="10"/>
  <c r="R336" i="10"/>
  <c r="U336" i="10" s="1"/>
  <c r="S336" i="10"/>
  <c r="T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O341" i="10" s="1"/>
  <c r="M341" i="10"/>
  <c r="P341" i="10" s="1"/>
  <c r="N341" i="10"/>
  <c r="N339" i="10" s="1"/>
  <c r="T341" i="10"/>
  <c r="U341" i="10"/>
  <c r="J344" i="10"/>
  <c r="K344" i="10"/>
  <c r="I346" i="10"/>
  <c r="J346" i="10"/>
  <c r="J347" i="10"/>
  <c r="J348" i="10"/>
  <c r="J349" i="10"/>
  <c r="D350" i="10"/>
  <c r="J352" i="10"/>
  <c r="J353" i="10"/>
  <c r="J354" i="10"/>
  <c r="L357" i="10"/>
  <c r="O357" i="10" s="1"/>
  <c r="M357" i="10"/>
  <c r="N357" i="10"/>
  <c r="Q357" i="10"/>
  <c r="Q356" i="10" s="1"/>
  <c r="T356" i="10" s="1"/>
  <c r="R357" i="10"/>
  <c r="U357" i="10" s="1"/>
  <c r="S357" i="10"/>
  <c r="Q358" i="10"/>
  <c r="T358" i="10" s="1"/>
  <c r="R358" i="10"/>
  <c r="U358" i="10" s="1"/>
  <c r="S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N359" i="10" s="1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O364" i="10" s="1"/>
  <c r="M364" i="10"/>
  <c r="P364" i="10" s="1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I365" i="10" s="1"/>
  <c r="J371" i="10"/>
  <c r="J365" i="10" s="1"/>
  <c r="J372" i="10"/>
  <c r="K372" i="10"/>
  <c r="D373" i="10"/>
  <c r="L376" i="10"/>
  <c r="O376" i="10" s="1"/>
  <c r="M376" i="10"/>
  <c r="N376" i="10"/>
  <c r="Q376" i="10"/>
  <c r="T376" i="10" s="1"/>
  <c r="R376" i="10"/>
  <c r="S376" i="10"/>
  <c r="U376" i="10"/>
  <c r="O379" i="10"/>
  <c r="P379" i="10"/>
  <c r="T379" i="10"/>
  <c r="U379" i="10"/>
  <c r="L380" i="10"/>
  <c r="M380" i="10"/>
  <c r="M378" i="10" s="1"/>
  <c r="P378" i="10" s="1"/>
  <c r="N380" i="10"/>
  <c r="Q380" i="10"/>
  <c r="Q377" i="10" s="1"/>
  <c r="R380" i="10"/>
  <c r="S380" i="10"/>
  <c r="S377" i="10" s="1"/>
  <c r="Q381" i="10"/>
  <c r="R381" i="10"/>
  <c r="U381" i="10" s="1"/>
  <c r="S381" i="10"/>
  <c r="T381" i="10"/>
  <c r="O382" i="10"/>
  <c r="P382" i="10"/>
  <c r="T382" i="10"/>
  <c r="U382" i="10"/>
  <c r="L383" i="10"/>
  <c r="O383" i="10" s="1"/>
  <c r="M383" i="10"/>
  <c r="M381" i="10" s="1"/>
  <c r="P381" i="10" s="1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M393" i="10"/>
  <c r="N393" i="10"/>
  <c r="P393" i="10"/>
  <c r="Q393" i="10"/>
  <c r="R393" i="10"/>
  <c r="S393" i="10"/>
  <c r="L394" i="10"/>
  <c r="O394" i="10" s="1"/>
  <c r="M394" i="10"/>
  <c r="P394" i="10" s="1"/>
  <c r="N394" i="10"/>
  <c r="L395" i="10"/>
  <c r="M395" i="10"/>
  <c r="P395" i="10" s="1"/>
  <c r="N395" i="10"/>
  <c r="O395" i="10"/>
  <c r="O396" i="10"/>
  <c r="P396" i="10"/>
  <c r="T396" i="10"/>
  <c r="U396" i="10"/>
  <c r="O397" i="10"/>
  <c r="P397" i="10"/>
  <c r="Q397" i="10"/>
  <c r="R397" i="10"/>
  <c r="R395" i="10" s="1"/>
  <c r="U395" i="10" s="1"/>
  <c r="S397" i="10"/>
  <c r="S395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P414" i="10"/>
  <c r="Q414" i="10"/>
  <c r="R414" i="10"/>
  <c r="U414" i="10" s="1"/>
  <c r="S414" i="10"/>
  <c r="O417" i="10"/>
  <c r="P417" i="10"/>
  <c r="T417" i="10"/>
  <c r="U417" i="10"/>
  <c r="L418" i="10"/>
  <c r="L416" i="10" s="1"/>
  <c r="M418" i="10"/>
  <c r="N418" i="10"/>
  <c r="N416" i="10" s="1"/>
  <c r="Q418" i="10"/>
  <c r="Q416" i="10" s="1"/>
  <c r="R418" i="10"/>
  <c r="R416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M421" i="10"/>
  <c r="P421" i="10" s="1"/>
  <c r="N421" i="10"/>
  <c r="N419" i="10" s="1"/>
  <c r="T421" i="10"/>
  <c r="U421" i="10"/>
  <c r="I424" i="10"/>
  <c r="J424" i="10"/>
  <c r="I425" i="10"/>
  <c r="J425" i="10"/>
  <c r="I432" i="10"/>
  <c r="J432" i="10"/>
  <c r="I433" i="10"/>
  <c r="K433" i="10" s="1"/>
  <c r="J433" i="10"/>
  <c r="I440" i="10"/>
  <c r="I423" i="10" s="1"/>
  <c r="I412" i="10" s="1"/>
  <c r="I441" i="10"/>
  <c r="K441" i="10" s="1"/>
  <c r="J441" i="10"/>
  <c r="J446" i="10"/>
  <c r="J440" i="10" s="1"/>
  <c r="J447" i="10"/>
  <c r="I457" i="10"/>
  <c r="I456" i="10" s="1"/>
  <c r="I458" i="10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J485" i="10"/>
  <c r="K485" i="10"/>
  <c r="L494" i="10"/>
  <c r="O494" i="10" s="1"/>
  <c r="M494" i="10"/>
  <c r="N494" i="10"/>
  <c r="Q494" i="10"/>
  <c r="R494" i="10"/>
  <c r="U494" i="10" s="1"/>
  <c r="S494" i="10"/>
  <c r="T494" i="10"/>
  <c r="O497" i="10"/>
  <c r="P497" i="10"/>
  <c r="T497" i="10"/>
  <c r="U497" i="10"/>
  <c r="L498" i="10"/>
  <c r="O498" i="10" s="1"/>
  <c r="M498" i="10"/>
  <c r="P498" i="10" s="1"/>
  <c r="N498" i="10"/>
  <c r="N496" i="10" s="1"/>
  <c r="Q498" i="10"/>
  <c r="T498" i="10" s="1"/>
  <c r="R498" i="10"/>
  <c r="U498" i="10" s="1"/>
  <c r="S498" i="10"/>
  <c r="Q499" i="10"/>
  <c r="R499" i="10"/>
  <c r="U499" i="10" s="1"/>
  <c r="S499" i="10"/>
  <c r="T499" i="10"/>
  <c r="O500" i="10"/>
  <c r="P500" i="10"/>
  <c r="T500" i="10"/>
  <c r="U500" i="10"/>
  <c r="L501" i="10"/>
  <c r="O501" i="10" s="1"/>
  <c r="M501" i="10"/>
  <c r="M499" i="10" s="1"/>
  <c r="P499" i="10" s="1"/>
  <c r="N501" i="10"/>
  <c r="N499" i="10" s="1"/>
  <c r="T501" i="10"/>
  <c r="U501" i="10"/>
  <c r="I503" i="10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P514" i="10" s="1"/>
  <c r="N514" i="10"/>
  <c r="Q514" i="10"/>
  <c r="R514" i="10"/>
  <c r="R513" i="10" s="1"/>
  <c r="U513" i="10" s="1"/>
  <c r="S514" i="10"/>
  <c r="S513" i="10" s="1"/>
  <c r="T514" i="10"/>
  <c r="Q515" i="10"/>
  <c r="Q513" i="10" s="1"/>
  <c r="T513" i="10" s="1"/>
  <c r="R515" i="10"/>
  <c r="S515" i="10"/>
  <c r="U515" i="10"/>
  <c r="Q516" i="10"/>
  <c r="T516" i="10" s="1"/>
  <c r="R516" i="10"/>
  <c r="U516" i="10" s="1"/>
  <c r="S516" i="10"/>
  <c r="O517" i="10"/>
  <c r="P517" i="10"/>
  <c r="T517" i="10"/>
  <c r="U517" i="10"/>
  <c r="L518" i="10"/>
  <c r="O518" i="10" s="1"/>
  <c r="M518" i="10"/>
  <c r="P518" i="10" s="1"/>
  <c r="N518" i="10"/>
  <c r="N516" i="10" s="1"/>
  <c r="T518" i="10"/>
  <c r="U518" i="10"/>
  <c r="Q519" i="10"/>
  <c r="T519" i="10" s="1"/>
  <c r="R519" i="10"/>
  <c r="S519" i="10"/>
  <c r="U519" i="10"/>
  <c r="O520" i="10"/>
  <c r="P520" i="10"/>
  <c r="T520" i="10"/>
  <c r="U520" i="10"/>
  <c r="L521" i="10"/>
  <c r="M521" i="10"/>
  <c r="P521" i="10" s="1"/>
  <c r="N521" i="10"/>
  <c r="N519" i="10" s="1"/>
  <c r="T521" i="10"/>
  <c r="U521" i="10"/>
  <c r="K523" i="10"/>
  <c r="K524" i="10"/>
  <c r="I533" i="10"/>
  <c r="K533" i="10" s="1"/>
  <c r="J533" i="10"/>
  <c r="L535" i="10"/>
  <c r="M535" i="10"/>
  <c r="P535" i="10" s="1"/>
  <c r="N535" i="10"/>
  <c r="Q535" i="10"/>
  <c r="Q534" i="10" s="1"/>
  <c r="T534" i="10" s="1"/>
  <c r="R535" i="10"/>
  <c r="U535" i="10" s="1"/>
  <c r="S535" i="10"/>
  <c r="T535" i="10"/>
  <c r="Q536" i="10"/>
  <c r="T536" i="10" s="1"/>
  <c r="R536" i="10"/>
  <c r="U536" i="10" s="1"/>
  <c r="S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P539" i="10" s="1"/>
  <c r="N539" i="10"/>
  <c r="N537" i="10" s="1"/>
  <c r="T539" i="10"/>
  <c r="U539" i="10"/>
  <c r="Q540" i="10"/>
  <c r="T540" i="10" s="1"/>
  <c r="R540" i="10"/>
  <c r="S540" i="10"/>
  <c r="U540" i="10"/>
  <c r="O541" i="10"/>
  <c r="P541" i="10"/>
  <c r="T541" i="10"/>
  <c r="U541" i="10"/>
  <c r="L542" i="10"/>
  <c r="L540" i="10" s="1"/>
  <c r="O540" i="10" s="1"/>
  <c r="M542" i="10"/>
  <c r="N542" i="10"/>
  <c r="N540" i="10" s="1"/>
  <c r="T542" i="10"/>
  <c r="U542" i="10"/>
  <c r="I554" i="10"/>
  <c r="J554" i="10"/>
  <c r="K554" i="10"/>
  <c r="L556" i="10"/>
  <c r="O556" i="10" s="1"/>
  <c r="M556" i="10"/>
  <c r="N556" i="10"/>
  <c r="P556" i="10"/>
  <c r="Q556" i="10"/>
  <c r="T556" i="10" s="1"/>
  <c r="R556" i="10"/>
  <c r="U556" i="10" s="1"/>
  <c r="S556" i="10"/>
  <c r="Q557" i="10"/>
  <c r="R557" i="10"/>
  <c r="S557" i="10"/>
  <c r="T557" i="10"/>
  <c r="Q558" i="10"/>
  <c r="R558" i="10"/>
  <c r="U558" i="10" s="1"/>
  <c r="S558" i="10"/>
  <c r="T558" i="10"/>
  <c r="O559" i="10"/>
  <c r="P559" i="10"/>
  <c r="T559" i="10"/>
  <c r="U559" i="10"/>
  <c r="L560" i="10"/>
  <c r="L558" i="10" s="1"/>
  <c r="O558" i="10" s="1"/>
  <c r="M560" i="10"/>
  <c r="N560" i="10"/>
  <c r="T560" i="10"/>
  <c r="U560" i="10"/>
  <c r="Q561" i="10"/>
  <c r="R561" i="10"/>
  <c r="U561" i="10" s="1"/>
  <c r="S561" i="10"/>
  <c r="T561" i="10"/>
  <c r="O562" i="10"/>
  <c r="P562" i="10"/>
  <c r="T562" i="10"/>
  <c r="U562" i="10"/>
  <c r="L563" i="10"/>
  <c r="O563" i="10" s="1"/>
  <c r="M563" i="10"/>
  <c r="N563" i="10"/>
  <c r="N561" i="10" s="1"/>
  <c r="T563" i="10"/>
  <c r="U563" i="10"/>
  <c r="I575" i="10"/>
  <c r="K575" i="10" s="1"/>
  <c r="J575" i="10"/>
  <c r="L577" i="10"/>
  <c r="M577" i="10"/>
  <c r="N577" i="10"/>
  <c r="O577" i="10"/>
  <c r="P577" i="10"/>
  <c r="Q577" i="10"/>
  <c r="R577" i="10"/>
  <c r="S577" i="10"/>
  <c r="S576" i="10" s="1"/>
  <c r="T577" i="10"/>
  <c r="U577" i="10"/>
  <c r="Q578" i="10"/>
  <c r="T578" i="10" s="1"/>
  <c r="R578" i="10"/>
  <c r="R576" i="10" s="1"/>
  <c r="U576" i="10" s="1"/>
  <c r="S578" i="10"/>
  <c r="Q579" i="10"/>
  <c r="R579" i="10"/>
  <c r="U579" i="10" s="1"/>
  <c r="S579" i="10"/>
  <c r="T579" i="10"/>
  <c r="O580" i="10"/>
  <c r="P580" i="10"/>
  <c r="T580" i="10"/>
  <c r="U580" i="10"/>
  <c r="L581" i="10"/>
  <c r="O581" i="10" s="1"/>
  <c r="M581" i="10"/>
  <c r="P581" i="10" s="1"/>
  <c r="N581" i="10"/>
  <c r="N579" i="10" s="1"/>
  <c r="T581" i="10"/>
  <c r="U581" i="10"/>
  <c r="Q582" i="10"/>
  <c r="R582" i="10"/>
  <c r="U582" i="10" s="1"/>
  <c r="S582" i="10"/>
  <c r="T582" i="10"/>
  <c r="O583" i="10"/>
  <c r="P583" i="10"/>
  <c r="T583" i="10"/>
  <c r="U583" i="10"/>
  <c r="L584" i="10"/>
  <c r="L582" i="10" s="1"/>
  <c r="O582" i="10" s="1"/>
  <c r="M584" i="10"/>
  <c r="N584" i="10"/>
  <c r="N582" i="10" s="1"/>
  <c r="T584" i="10"/>
  <c r="U584" i="10"/>
  <c r="L600" i="10"/>
  <c r="M600" i="10"/>
  <c r="N600" i="10"/>
  <c r="O600" i="10"/>
  <c r="Q600" i="10"/>
  <c r="R600" i="10"/>
  <c r="U600" i="10" s="1"/>
  <c r="S600" i="10"/>
  <c r="T600" i="10"/>
  <c r="O603" i="10"/>
  <c r="P603" i="10"/>
  <c r="T603" i="10"/>
  <c r="U603" i="10"/>
  <c r="L604" i="10"/>
  <c r="L602" i="10" s="1"/>
  <c r="O602" i="10" s="1"/>
  <c r="M604" i="10"/>
  <c r="P604" i="10" s="1"/>
  <c r="N604" i="10"/>
  <c r="N602" i="10" s="1"/>
  <c r="Q604" i="10"/>
  <c r="R604" i="10"/>
  <c r="R602" i="10" s="1"/>
  <c r="U602" i="10" s="1"/>
  <c r="S604" i="10"/>
  <c r="O606" i="10"/>
  <c r="P606" i="10"/>
  <c r="T606" i="10"/>
  <c r="U606" i="10"/>
  <c r="L607" i="10"/>
  <c r="L605" i="10" s="1"/>
  <c r="O605" i="10" s="1"/>
  <c r="M607" i="10"/>
  <c r="N607" i="10"/>
  <c r="N605" i="10" s="1"/>
  <c r="Q607" i="10"/>
  <c r="T607" i="10" s="1"/>
  <c r="R607" i="10"/>
  <c r="R605" i="10" s="1"/>
  <c r="U605" i="10" s="1"/>
  <c r="S607" i="10"/>
  <c r="S605" i="10" s="1"/>
  <c r="O616" i="10"/>
  <c r="L617" i="10"/>
  <c r="O617" i="10" s="1"/>
  <c r="M617" i="10"/>
  <c r="P617" i="10" s="1"/>
  <c r="N617" i="10"/>
  <c r="N616" i="10" s="1"/>
  <c r="Q617" i="10"/>
  <c r="T617" i="10" s="1"/>
  <c r="R617" i="10"/>
  <c r="U617" i="10" s="1"/>
  <c r="S617" i="10"/>
  <c r="L618" i="10"/>
  <c r="L616" i="10" s="1"/>
  <c r="M618" i="10"/>
  <c r="P618" i="10" s="1"/>
  <c r="N618" i="10"/>
  <c r="O618" i="10"/>
  <c r="L619" i="10"/>
  <c r="M619" i="10"/>
  <c r="N619" i="10"/>
  <c r="O619" i="10"/>
  <c r="P619" i="10"/>
  <c r="O620" i="10"/>
  <c r="P620" i="10"/>
  <c r="T620" i="10"/>
  <c r="U620" i="10"/>
  <c r="O621" i="10"/>
  <c r="P621" i="10"/>
  <c r="Q621" i="10"/>
  <c r="Q618" i="10" s="1"/>
  <c r="R621" i="10"/>
  <c r="R619" i="10" s="1"/>
  <c r="S621" i="10"/>
  <c r="S619" i="10" s="1"/>
  <c r="L622" i="10"/>
  <c r="O622" i="10" s="1"/>
  <c r="M622" i="10"/>
  <c r="P622" i="10" s="1"/>
  <c r="N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I615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M643" i="10"/>
  <c r="M642" i="10" s="1"/>
  <c r="P642" i="10" s="1"/>
  <c r="N643" i="10"/>
  <c r="Q643" i="10"/>
  <c r="T643" i="10" s="1"/>
  <c r="R643" i="10"/>
  <c r="S643" i="10"/>
  <c r="U643" i="10"/>
  <c r="L644" i="10"/>
  <c r="O644" i="10" s="1"/>
  <c r="M644" i="10"/>
  <c r="P644" i="10" s="1"/>
  <c r="N644" i="10"/>
  <c r="N642" i="10" s="1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Q644" i="10" s="1"/>
  <c r="Q642" i="10" s="1"/>
  <c r="T642" i="10" s="1"/>
  <c r="R647" i="10"/>
  <c r="R645" i="10" s="1"/>
  <c r="U645" i="10" s="1"/>
  <c r="S647" i="10"/>
  <c r="S645" i="10" s="1"/>
  <c r="L648" i="10"/>
  <c r="O648" i="10" s="1"/>
  <c r="M648" i="10"/>
  <c r="N648" i="10"/>
  <c r="P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N691" i="10"/>
  <c r="O691" i="10"/>
  <c r="P691" i="10"/>
  <c r="Q691" i="10"/>
  <c r="T691" i="10" s="1"/>
  <c r="R691" i="10"/>
  <c r="U691" i="10" s="1"/>
  <c r="S691" i="10"/>
  <c r="L692" i="10"/>
  <c r="O692" i="10" s="1"/>
  <c r="M692" i="10"/>
  <c r="P692" i="10" s="1"/>
  <c r="N692" i="10"/>
  <c r="N690" i="10" s="1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R695" i="10"/>
  <c r="S695" i="10"/>
  <c r="S692" i="10" s="1"/>
  <c r="S690" i="10" s="1"/>
  <c r="L696" i="10"/>
  <c r="O696" i="10" s="1"/>
  <c r="M696" i="10"/>
  <c r="P696" i="10" s="1"/>
  <c r="N696" i="10"/>
  <c r="Q696" i="10"/>
  <c r="R696" i="10"/>
  <c r="U696" i="10" s="1"/>
  <c r="S696" i="10"/>
  <c r="T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J707" i="10"/>
  <c r="J689" i="10" s="1"/>
  <c r="J708" i="10"/>
  <c r="K708" i="10"/>
  <c r="I709" i="10"/>
  <c r="J709" i="10"/>
  <c r="J710" i="10"/>
  <c r="K710" i="10"/>
  <c r="J712" i="10"/>
  <c r="K712" i="10"/>
  <c r="Q714" i="10"/>
  <c r="T714" i="10" s="1"/>
  <c r="L715" i="10"/>
  <c r="L714" i="10" s="1"/>
  <c r="O714" i="10" s="1"/>
  <c r="M715" i="10"/>
  <c r="N715" i="10"/>
  <c r="Q715" i="10"/>
  <c r="R715" i="10"/>
  <c r="U715" i="10" s="1"/>
  <c r="S715" i="10"/>
  <c r="T715" i="10"/>
  <c r="L716" i="10"/>
  <c r="M716" i="10"/>
  <c r="N716" i="10"/>
  <c r="O716" i="10"/>
  <c r="P716" i="10"/>
  <c r="Q716" i="10"/>
  <c r="T716" i="10" s="1"/>
  <c r="R716" i="10"/>
  <c r="S716" i="10"/>
  <c r="U716" i="10"/>
  <c r="L717" i="10"/>
  <c r="O717" i="10" s="1"/>
  <c r="M717" i="10"/>
  <c r="P717" i="10" s="1"/>
  <c r="N717" i="10"/>
  <c r="Q717" i="10"/>
  <c r="R717" i="10"/>
  <c r="U717" i="10" s="1"/>
  <c r="S717" i="10"/>
  <c r="T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8" i="10"/>
  <c r="O728" i="10" s="1"/>
  <c r="L729" i="10"/>
  <c r="O729" i="10" s="1"/>
  <c r="M729" i="10"/>
  <c r="N729" i="10"/>
  <c r="Q729" i="10"/>
  <c r="T729" i="10" s="1"/>
  <c r="R729" i="10"/>
  <c r="U729" i="10" s="1"/>
  <c r="S729" i="10"/>
  <c r="L730" i="10"/>
  <c r="M730" i="10"/>
  <c r="P730" i="10" s="1"/>
  <c r="N730" i="10"/>
  <c r="O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1" i="10" s="1"/>
  <c r="R733" i="10"/>
  <c r="R730" i="10" s="1"/>
  <c r="S733" i="10"/>
  <c r="L734" i="10"/>
  <c r="O734" i="10" s="1"/>
  <c r="M734" i="10"/>
  <c r="N734" i="10"/>
  <c r="P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N761" i="10"/>
  <c r="P761" i="10"/>
  <c r="Q761" i="10"/>
  <c r="T761" i="10" s="1"/>
  <c r="R761" i="10"/>
  <c r="U761" i="10" s="1"/>
  <c r="S761" i="10"/>
  <c r="L762" i="10"/>
  <c r="O762" i="10" s="1"/>
  <c r="M762" i="10"/>
  <c r="P762" i="10" s="1"/>
  <c r="N762" i="10"/>
  <c r="L763" i="10"/>
  <c r="M763" i="10"/>
  <c r="P763" i="10" s="1"/>
  <c r="N763" i="10"/>
  <c r="O763" i="10"/>
  <c r="O764" i="10"/>
  <c r="P764" i="10"/>
  <c r="T764" i="10"/>
  <c r="U764" i="10"/>
  <c r="O765" i="10"/>
  <c r="P765" i="10"/>
  <c r="Q765" i="10"/>
  <c r="Q763" i="10" s="1"/>
  <c r="T763" i="10" s="1"/>
  <c r="R765" i="10"/>
  <c r="R763" i="10" s="1"/>
  <c r="U763" i="10" s="1"/>
  <c r="S765" i="10"/>
  <c r="S762" i="10" s="1"/>
  <c r="S760" i="10" s="1"/>
  <c r="L766" i="10"/>
  <c r="O766" i="10" s="1"/>
  <c r="M766" i="10"/>
  <c r="P766" i="10" s="1"/>
  <c r="N766" i="10"/>
  <c r="Q766" i="10"/>
  <c r="T766" i="10" s="1"/>
  <c r="R766" i="10"/>
  <c r="S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L19" i="9" s="1"/>
  <c r="M22" i="9"/>
  <c r="M19" i="9" s="1"/>
  <c r="N22" i="9"/>
  <c r="Q22" i="9"/>
  <c r="R22" i="9"/>
  <c r="S22" i="9"/>
  <c r="T22" i="9"/>
  <c r="L25" i="9"/>
  <c r="M25" i="9"/>
  <c r="N25" i="9"/>
  <c r="Q25" i="9"/>
  <c r="T25" i="9" s="1"/>
  <c r="R25" i="9"/>
  <c r="S25" i="9"/>
  <c r="L45" i="9"/>
  <c r="O45" i="9" s="1"/>
  <c r="M45" i="9"/>
  <c r="N45" i="9"/>
  <c r="Q45" i="9"/>
  <c r="Q44" i="9" s="1"/>
  <c r="T44" i="9" s="1"/>
  <c r="R45" i="9"/>
  <c r="R44" i="9" s="1"/>
  <c r="U44" i="9" s="1"/>
  <c r="S45" i="9"/>
  <c r="S44" i="9" s="1"/>
  <c r="T45" i="9"/>
  <c r="U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M47" i="9" s="1"/>
  <c r="N49" i="9"/>
  <c r="T49" i="9"/>
  <c r="U49" i="9"/>
  <c r="Q50" i="9"/>
  <c r="T50" i="9" s="1"/>
  <c r="R50" i="9"/>
  <c r="S50" i="9"/>
  <c r="U50" i="9"/>
  <c r="O51" i="9"/>
  <c r="P51" i="9"/>
  <c r="T51" i="9"/>
  <c r="U51" i="9"/>
  <c r="L52" i="9"/>
  <c r="M52" i="9"/>
  <c r="N52" i="9"/>
  <c r="N50" i="9" s="1"/>
  <c r="T52" i="9"/>
  <c r="U52" i="9"/>
  <c r="L60" i="9"/>
  <c r="O60" i="9" s="1"/>
  <c r="M60" i="9"/>
  <c r="N60" i="9"/>
  <c r="Q60" i="9"/>
  <c r="Q59" i="9" s="1"/>
  <c r="T59" i="9" s="1"/>
  <c r="R60" i="9"/>
  <c r="R59" i="9" s="1"/>
  <c r="U59" i="9" s="1"/>
  <c r="S60" i="9"/>
  <c r="S59" i="9" s="1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N62" i="9" s="1"/>
  <c r="T64" i="9"/>
  <c r="U64" i="9"/>
  <c r="Q65" i="9"/>
  <c r="T65" i="9" s="1"/>
  <c r="R65" i="9"/>
  <c r="S65" i="9"/>
  <c r="U65" i="9"/>
  <c r="O66" i="9"/>
  <c r="P66" i="9"/>
  <c r="T66" i="9"/>
  <c r="U66" i="9"/>
  <c r="L67" i="9"/>
  <c r="M67" i="9"/>
  <c r="N67" i="9"/>
  <c r="N65" i="9" s="1"/>
  <c r="T67" i="9"/>
  <c r="U67" i="9"/>
  <c r="L73" i="9"/>
  <c r="M73" i="9"/>
  <c r="N73" i="9"/>
  <c r="O73" i="9"/>
  <c r="Q73" i="9"/>
  <c r="T73" i="9" s="1"/>
  <c r="R73" i="9"/>
  <c r="S73" i="9"/>
  <c r="U73" i="9"/>
  <c r="O76" i="9"/>
  <c r="P76" i="9"/>
  <c r="T76" i="9"/>
  <c r="U76" i="9"/>
  <c r="L77" i="9"/>
  <c r="O77" i="9" s="1"/>
  <c r="M77" i="9"/>
  <c r="M75" i="9" s="1"/>
  <c r="P75" i="9" s="1"/>
  <c r="N77" i="9"/>
  <c r="Q77" i="9"/>
  <c r="Q75" i="9" s="1"/>
  <c r="T75" i="9" s="1"/>
  <c r="R77" i="9"/>
  <c r="R75" i="9" s="1"/>
  <c r="U75" i="9" s="1"/>
  <c r="S77" i="9"/>
  <c r="S75" i="9" s="1"/>
  <c r="O79" i="9"/>
  <c r="P79" i="9"/>
  <c r="T79" i="9"/>
  <c r="U79" i="9"/>
  <c r="L80" i="9"/>
  <c r="O80" i="9" s="1"/>
  <c r="M80" i="9"/>
  <c r="M78" i="9" s="1"/>
  <c r="P78" i="9" s="1"/>
  <c r="N80" i="9"/>
  <c r="N78" i="9" s="1"/>
  <c r="Q80" i="9"/>
  <c r="Q78" i="9" s="1"/>
  <c r="T78" i="9" s="1"/>
  <c r="R80" i="9"/>
  <c r="R78" i="9" s="1"/>
  <c r="U78" i="9" s="1"/>
  <c r="S80" i="9"/>
  <c r="S78" i="9" s="1"/>
  <c r="J82" i="9"/>
  <c r="J70" i="9" s="1"/>
  <c r="J83" i="9"/>
  <c r="J71" i="9" s="1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O98" i="9"/>
  <c r="P98" i="9"/>
  <c r="T98" i="9"/>
  <c r="U98" i="9"/>
  <c r="L99" i="9"/>
  <c r="M99" i="9"/>
  <c r="N99" i="9"/>
  <c r="Q99" i="9"/>
  <c r="Q97" i="9" s="1"/>
  <c r="R99" i="9"/>
  <c r="R96" i="9" s="1"/>
  <c r="S99" i="9"/>
  <c r="S96" i="9" s="1"/>
  <c r="S94" i="9" s="1"/>
  <c r="Q100" i="9"/>
  <c r="T100" i="9" s="1"/>
  <c r="R100" i="9"/>
  <c r="U100" i="9" s="1"/>
  <c r="S100" i="9"/>
  <c r="O101" i="9"/>
  <c r="P101" i="9"/>
  <c r="T101" i="9"/>
  <c r="U101" i="9"/>
  <c r="L102" i="9"/>
  <c r="L100" i="9" s="1"/>
  <c r="O100" i="9" s="1"/>
  <c r="M102" i="9"/>
  <c r="N102" i="9"/>
  <c r="N100" i="9" s="1"/>
  <c r="T102" i="9"/>
  <c r="U102" i="9"/>
  <c r="I108" i="9"/>
  <c r="I92" i="9" s="1"/>
  <c r="K92" i="9" s="1"/>
  <c r="I109" i="9"/>
  <c r="I93" i="9" s="1"/>
  <c r="I113" i="9"/>
  <c r="K113" i="9" s="1"/>
  <c r="I114" i="9"/>
  <c r="K114" i="9" s="1"/>
  <c r="J116" i="9"/>
  <c r="L118" i="9"/>
  <c r="M118" i="9"/>
  <c r="P118" i="9" s="1"/>
  <c r="N118" i="9"/>
  <c r="O118" i="9"/>
  <c r="Q118" i="9"/>
  <c r="T118" i="9" s="1"/>
  <c r="R118" i="9"/>
  <c r="U118" i="9" s="1"/>
  <c r="S118" i="9"/>
  <c r="O121" i="9"/>
  <c r="P121" i="9"/>
  <c r="T121" i="9"/>
  <c r="U121" i="9"/>
  <c r="L122" i="9"/>
  <c r="M122" i="9"/>
  <c r="M120" i="9" s="1"/>
  <c r="P120" i="9" s="1"/>
  <c r="N122" i="9"/>
  <c r="Q122" i="9"/>
  <c r="R122" i="9"/>
  <c r="S122" i="9"/>
  <c r="O124" i="9"/>
  <c r="P124" i="9"/>
  <c r="T124" i="9"/>
  <c r="U124" i="9"/>
  <c r="L125" i="9"/>
  <c r="M125" i="9"/>
  <c r="N125" i="9"/>
  <c r="N123" i="9" s="1"/>
  <c r="Q125" i="9"/>
  <c r="R125" i="9"/>
  <c r="S125" i="9"/>
  <c r="S123" i="9" s="1"/>
  <c r="I127" i="9"/>
  <c r="I116" i="9" s="1"/>
  <c r="K116" i="9" s="1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P140" i="9" s="1"/>
  <c r="N140" i="9"/>
  <c r="Q140" i="9"/>
  <c r="R140" i="9"/>
  <c r="U140" i="9" s="1"/>
  <c r="S140" i="9"/>
  <c r="O143" i="9"/>
  <c r="P143" i="9"/>
  <c r="T143" i="9"/>
  <c r="U143" i="9"/>
  <c r="L144" i="9"/>
  <c r="M144" i="9"/>
  <c r="N144" i="9"/>
  <c r="Q144" i="9"/>
  <c r="R144" i="9"/>
  <c r="S144" i="9"/>
  <c r="S142" i="9" s="1"/>
  <c r="O146" i="9"/>
  <c r="P146" i="9"/>
  <c r="T146" i="9"/>
  <c r="U146" i="9"/>
  <c r="L147" i="9"/>
  <c r="M147" i="9"/>
  <c r="N147" i="9"/>
  <c r="N145" i="9" s="1"/>
  <c r="Q147" i="9"/>
  <c r="Q145" i="9" s="1"/>
  <c r="T145" i="9" s="1"/>
  <c r="R147" i="9"/>
  <c r="S147" i="9"/>
  <c r="S145" i="9" s="1"/>
  <c r="I150" i="9"/>
  <c r="K150" i="9" s="1"/>
  <c r="I151" i="9"/>
  <c r="K151" i="9" s="1"/>
  <c r="I152" i="9"/>
  <c r="I137" i="9" s="1"/>
  <c r="K137" i="9" s="1"/>
  <c r="I153" i="9"/>
  <c r="K153" i="9" s="1"/>
  <c r="I154" i="9"/>
  <c r="I136" i="9" s="1"/>
  <c r="K136" i="9" s="1"/>
  <c r="J156" i="9"/>
  <c r="L158" i="9"/>
  <c r="M158" i="9"/>
  <c r="P158" i="9" s="1"/>
  <c r="N158" i="9"/>
  <c r="Q158" i="9"/>
  <c r="T158" i="9" s="1"/>
  <c r="R158" i="9"/>
  <c r="U158" i="9" s="1"/>
  <c r="S158" i="9"/>
  <c r="O161" i="9"/>
  <c r="P161" i="9"/>
  <c r="T161" i="9"/>
  <c r="U161" i="9"/>
  <c r="L162" i="9"/>
  <c r="L160" i="9" s="1"/>
  <c r="O160" i="9" s="1"/>
  <c r="M162" i="9"/>
  <c r="N162" i="9"/>
  <c r="Q162" i="9"/>
  <c r="R162" i="9"/>
  <c r="R160" i="9" s="1"/>
  <c r="U160" i="9" s="1"/>
  <c r="S162" i="9"/>
  <c r="S159" i="9" s="1"/>
  <c r="S157" i="9" s="1"/>
  <c r="Q163" i="9"/>
  <c r="T163" i="9" s="1"/>
  <c r="R163" i="9"/>
  <c r="U163" i="9" s="1"/>
  <c r="S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O174" i="9" s="1"/>
  <c r="M174" i="9"/>
  <c r="N174" i="9"/>
  <c r="P174" i="9"/>
  <c r="Q174" i="9"/>
  <c r="T174" i="9" s="1"/>
  <c r="R174" i="9"/>
  <c r="U174" i="9" s="1"/>
  <c r="S174" i="9"/>
  <c r="O177" i="9"/>
  <c r="P177" i="9"/>
  <c r="T177" i="9"/>
  <c r="U177" i="9"/>
  <c r="L178" i="9"/>
  <c r="M178" i="9"/>
  <c r="N178" i="9"/>
  <c r="N176" i="9" s="1"/>
  <c r="Q178" i="9"/>
  <c r="R178" i="9"/>
  <c r="S178" i="9"/>
  <c r="S175" i="9" s="1"/>
  <c r="S173" i="9" s="1"/>
  <c r="Q179" i="9"/>
  <c r="T179" i="9" s="1"/>
  <c r="R179" i="9"/>
  <c r="U179" i="9" s="1"/>
  <c r="S179" i="9"/>
  <c r="O180" i="9"/>
  <c r="P180" i="9"/>
  <c r="T180" i="9"/>
  <c r="U180" i="9"/>
  <c r="L181" i="9"/>
  <c r="L179" i="9" s="1"/>
  <c r="O179" i="9" s="1"/>
  <c r="M181" i="9"/>
  <c r="N181" i="9"/>
  <c r="T181" i="9"/>
  <c r="U181" i="9"/>
  <c r="I183" i="9"/>
  <c r="I172" i="9" s="1"/>
  <c r="K172" i="9" s="1"/>
  <c r="K184" i="9"/>
  <c r="L187" i="9"/>
  <c r="M187" i="9"/>
  <c r="N187" i="9"/>
  <c r="Q187" i="9"/>
  <c r="T187" i="9" s="1"/>
  <c r="R187" i="9"/>
  <c r="S187" i="9"/>
  <c r="O190" i="9"/>
  <c r="P190" i="9"/>
  <c r="T190" i="9"/>
  <c r="U190" i="9"/>
  <c r="L191" i="9"/>
  <c r="L189" i="9" s="1"/>
  <c r="M191" i="9"/>
  <c r="N191" i="9"/>
  <c r="Q191" i="9"/>
  <c r="R191" i="9"/>
  <c r="S191" i="9"/>
  <c r="S189" i="9" s="1"/>
  <c r="O193" i="9"/>
  <c r="P193" i="9"/>
  <c r="T193" i="9"/>
  <c r="U193" i="9"/>
  <c r="L194" i="9"/>
  <c r="L192" i="9" s="1"/>
  <c r="O192" i="9" s="1"/>
  <c r="M194" i="9"/>
  <c r="N194" i="9"/>
  <c r="N192" i="9" s="1"/>
  <c r="Q194" i="9"/>
  <c r="T194" i="9" s="1"/>
  <c r="R194" i="9"/>
  <c r="S194" i="9"/>
  <c r="S192" i="9" s="1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I213" i="9" s="1"/>
  <c r="K213" i="9" s="1"/>
  <c r="J221" i="9"/>
  <c r="N222" i="9"/>
  <c r="P222" i="9"/>
  <c r="L223" i="9"/>
  <c r="L224" i="9"/>
  <c r="L225" i="9"/>
  <c r="I228" i="9"/>
  <c r="K228" i="9" s="1"/>
  <c r="I229" i="9"/>
  <c r="I221" i="9" s="1"/>
  <c r="I230" i="9"/>
  <c r="N233" i="9"/>
  <c r="N234" i="9"/>
  <c r="N235" i="9"/>
  <c r="N236" i="9"/>
  <c r="J238" i="9"/>
  <c r="I240" i="9"/>
  <c r="K240" i="9" s="1"/>
  <c r="J240" i="9"/>
  <c r="I241" i="9"/>
  <c r="J241" i="9"/>
  <c r="K241" i="9"/>
  <c r="J242" i="9"/>
  <c r="J231" i="9" s="1"/>
  <c r="J185" i="9" s="1"/>
  <c r="N243" i="9"/>
  <c r="P243" i="9"/>
  <c r="L244" i="9"/>
  <c r="L245" i="9"/>
  <c r="L246" i="9"/>
  <c r="L247" i="9"/>
  <c r="I249" i="9"/>
  <c r="I242" i="9" s="1"/>
  <c r="K251" i="9"/>
  <c r="K252" i="9"/>
  <c r="J253" i="9"/>
  <c r="N254" i="9"/>
  <c r="N232" i="9" s="1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M267" i="9"/>
  <c r="N267" i="9"/>
  <c r="P267" i="9"/>
  <c r="Q267" i="9"/>
  <c r="R267" i="9"/>
  <c r="S267" i="9"/>
  <c r="O270" i="9"/>
  <c r="P270" i="9"/>
  <c r="T270" i="9"/>
  <c r="U270" i="9"/>
  <c r="L271" i="9"/>
  <c r="M271" i="9"/>
  <c r="N271" i="9"/>
  <c r="N269" i="9" s="1"/>
  <c r="Q271" i="9"/>
  <c r="Q268" i="9" s="1"/>
  <c r="R271" i="9"/>
  <c r="R268" i="9" s="1"/>
  <c r="S271" i="9"/>
  <c r="S269" i="9" s="1"/>
  <c r="Q272" i="9"/>
  <c r="T272" i="9" s="1"/>
  <c r="R272" i="9"/>
  <c r="S272" i="9"/>
  <c r="U272" i="9"/>
  <c r="O273" i="9"/>
  <c r="P273" i="9"/>
  <c r="T273" i="9"/>
  <c r="U273" i="9"/>
  <c r="L274" i="9"/>
  <c r="M274" i="9"/>
  <c r="N274" i="9"/>
  <c r="N272" i="9" s="1"/>
  <c r="T274" i="9"/>
  <c r="U274" i="9"/>
  <c r="I276" i="9"/>
  <c r="J281" i="9"/>
  <c r="Q282" i="9"/>
  <c r="T282" i="9" s="1"/>
  <c r="L283" i="9"/>
  <c r="M283" i="9"/>
  <c r="N283" i="9"/>
  <c r="Q283" i="9"/>
  <c r="T283" i="9" s="1"/>
  <c r="R283" i="9"/>
  <c r="S283" i="9"/>
  <c r="Q284" i="9"/>
  <c r="R284" i="9"/>
  <c r="U284" i="9" s="1"/>
  <c r="S284" i="9"/>
  <c r="T284" i="9"/>
  <c r="Q285" i="9"/>
  <c r="T285" i="9" s="1"/>
  <c r="R285" i="9"/>
  <c r="S285" i="9"/>
  <c r="U285" i="9"/>
  <c r="O286" i="9"/>
  <c r="P286" i="9"/>
  <c r="T286" i="9"/>
  <c r="U286" i="9"/>
  <c r="L287" i="9"/>
  <c r="L285" i="9" s="1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M290" i="9"/>
  <c r="P290" i="9" s="1"/>
  <c r="N290" i="9"/>
  <c r="N288" i="9" s="1"/>
  <c r="T290" i="9"/>
  <c r="U290" i="9"/>
  <c r="I292" i="9"/>
  <c r="I281" i="9" s="1"/>
  <c r="K281" i="9" s="1"/>
  <c r="I293" i="9"/>
  <c r="I280" i="9" s="1"/>
  <c r="J293" i="9"/>
  <c r="J280" i="9" s="1"/>
  <c r="I295" i="9"/>
  <c r="K295" i="9" s="1"/>
  <c r="I296" i="9"/>
  <c r="K296" i="9" s="1"/>
  <c r="I298" i="9"/>
  <c r="K298" i="9" s="1"/>
  <c r="I299" i="9"/>
  <c r="K299" i="9" s="1"/>
  <c r="J302" i="9"/>
  <c r="L304" i="9"/>
  <c r="M304" i="9"/>
  <c r="N304" i="9"/>
  <c r="O304" i="9"/>
  <c r="Q304" i="9"/>
  <c r="R304" i="9"/>
  <c r="U304" i="9" s="1"/>
  <c r="S304" i="9"/>
  <c r="T304" i="9"/>
  <c r="O307" i="9"/>
  <c r="P307" i="9"/>
  <c r="T307" i="9"/>
  <c r="U307" i="9"/>
  <c r="L308" i="9"/>
  <c r="O308" i="9" s="1"/>
  <c r="M308" i="9"/>
  <c r="N308" i="9"/>
  <c r="N306" i="9" s="1"/>
  <c r="Q308" i="9"/>
  <c r="Q305" i="9" s="1"/>
  <c r="R308" i="9"/>
  <c r="R305" i="9" s="1"/>
  <c r="S308" i="9"/>
  <c r="S305" i="9" s="1"/>
  <c r="Q309" i="9"/>
  <c r="T309" i="9" s="1"/>
  <c r="R309" i="9"/>
  <c r="U309" i="9" s="1"/>
  <c r="S309" i="9"/>
  <c r="O310" i="9"/>
  <c r="P310" i="9"/>
  <c r="T310" i="9"/>
  <c r="U310" i="9"/>
  <c r="L311" i="9"/>
  <c r="O311" i="9" s="1"/>
  <c r="M311" i="9"/>
  <c r="M309" i="9" s="1"/>
  <c r="P309" i="9" s="1"/>
  <c r="N311" i="9"/>
  <c r="N309" i="9" s="1"/>
  <c r="T311" i="9"/>
  <c r="U311" i="9"/>
  <c r="I314" i="9"/>
  <c r="J319" i="9"/>
  <c r="L321" i="9"/>
  <c r="M321" i="9"/>
  <c r="P321" i="9" s="1"/>
  <c r="N321" i="9"/>
  <c r="O321" i="9"/>
  <c r="Q321" i="9"/>
  <c r="T321" i="9" s="1"/>
  <c r="R321" i="9"/>
  <c r="S321" i="9"/>
  <c r="U321" i="9"/>
  <c r="Q322" i="9"/>
  <c r="Q320" i="9" s="1"/>
  <c r="T320" i="9" s="1"/>
  <c r="R322" i="9"/>
  <c r="S322" i="9"/>
  <c r="S320" i="9" s="1"/>
  <c r="T322" i="9"/>
  <c r="U322" i="9"/>
  <c r="Q323" i="9"/>
  <c r="T323" i="9" s="1"/>
  <c r="R323" i="9"/>
  <c r="S323" i="9"/>
  <c r="U323" i="9"/>
  <c r="O324" i="9"/>
  <c r="P324" i="9"/>
  <c r="T324" i="9"/>
  <c r="U324" i="9"/>
  <c r="L325" i="9"/>
  <c r="L323" i="9" s="1"/>
  <c r="O323" i="9" s="1"/>
  <c r="M325" i="9"/>
  <c r="P325" i="9" s="1"/>
  <c r="N325" i="9"/>
  <c r="N323" i="9" s="1"/>
  <c r="T325" i="9"/>
  <c r="U325" i="9"/>
  <c r="Q326" i="9"/>
  <c r="R326" i="9"/>
  <c r="U326" i="9" s="1"/>
  <c r="S326" i="9"/>
  <c r="T326" i="9"/>
  <c r="O327" i="9"/>
  <c r="P327" i="9"/>
  <c r="T327" i="9"/>
  <c r="U327" i="9"/>
  <c r="L328" i="9"/>
  <c r="M328" i="9"/>
  <c r="N328" i="9"/>
  <c r="N326" i="9" s="1"/>
  <c r="T328" i="9"/>
  <c r="U328" i="9"/>
  <c r="I330" i="9"/>
  <c r="I319" i="9" s="1"/>
  <c r="K319" i="9" s="1"/>
  <c r="I332" i="9"/>
  <c r="L334" i="9"/>
  <c r="O334" i="9" s="1"/>
  <c r="M334" i="9"/>
  <c r="N334" i="9"/>
  <c r="Q334" i="9"/>
  <c r="Q333" i="9" s="1"/>
  <c r="T333" i="9" s="1"/>
  <c r="R334" i="9"/>
  <c r="U334" i="9" s="1"/>
  <c r="S334" i="9"/>
  <c r="S333" i="9" s="1"/>
  <c r="T334" i="9"/>
  <c r="Q335" i="9"/>
  <c r="R335" i="9"/>
  <c r="U335" i="9" s="1"/>
  <c r="S335" i="9"/>
  <c r="T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M336" i="9" s="1"/>
  <c r="N338" i="9"/>
  <c r="T338" i="9"/>
  <c r="U338" i="9"/>
  <c r="Q339" i="9"/>
  <c r="R339" i="9"/>
  <c r="U339" i="9" s="1"/>
  <c r="S339" i="9"/>
  <c r="T339" i="9"/>
  <c r="O340" i="9"/>
  <c r="P340" i="9"/>
  <c r="T340" i="9"/>
  <c r="U340" i="9"/>
  <c r="L341" i="9"/>
  <c r="L339" i="9" s="1"/>
  <c r="O339" i="9" s="1"/>
  <c r="M341" i="9"/>
  <c r="N341" i="9"/>
  <c r="N339" i="9" s="1"/>
  <c r="T341" i="9"/>
  <c r="U341" i="9"/>
  <c r="J344" i="9"/>
  <c r="I346" i="9"/>
  <c r="J346" i="9"/>
  <c r="J347" i="9"/>
  <c r="J348" i="9"/>
  <c r="J349" i="9"/>
  <c r="D350" i="9"/>
  <c r="J352" i="9"/>
  <c r="J353" i="9"/>
  <c r="J354" i="9"/>
  <c r="L357" i="9"/>
  <c r="M357" i="9"/>
  <c r="N357" i="9"/>
  <c r="P357" i="9"/>
  <c r="Q357" i="9"/>
  <c r="R357" i="9"/>
  <c r="S357" i="9"/>
  <c r="Q358" i="9"/>
  <c r="T358" i="9" s="1"/>
  <c r="R358" i="9"/>
  <c r="U358" i="9" s="1"/>
  <c r="S358" i="9"/>
  <c r="Q359" i="9"/>
  <c r="T359" i="9" s="1"/>
  <c r="R359" i="9"/>
  <c r="S359" i="9"/>
  <c r="U359" i="9"/>
  <c r="O360" i="9"/>
  <c r="P360" i="9"/>
  <c r="T360" i="9"/>
  <c r="U360" i="9"/>
  <c r="L361" i="9"/>
  <c r="M361" i="9"/>
  <c r="N361" i="9"/>
  <c r="N359" i="9" s="1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M364" i="9"/>
  <c r="M362" i="9" s="1"/>
  <c r="P362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O376" i="9" s="1"/>
  <c r="M376" i="9"/>
  <c r="N376" i="9"/>
  <c r="Q376" i="9"/>
  <c r="R376" i="9"/>
  <c r="U376" i="9" s="1"/>
  <c r="S376" i="9"/>
  <c r="T376" i="9"/>
  <c r="O379" i="9"/>
  <c r="P379" i="9"/>
  <c r="T379" i="9"/>
  <c r="U379" i="9"/>
  <c r="L380" i="9"/>
  <c r="L378" i="9" s="1"/>
  <c r="O378" i="9" s="1"/>
  <c r="M380" i="9"/>
  <c r="N380" i="9"/>
  <c r="N378" i="9" s="1"/>
  <c r="Q380" i="9"/>
  <c r="Q377" i="9" s="1"/>
  <c r="R380" i="9"/>
  <c r="R377" i="9" s="1"/>
  <c r="S380" i="9"/>
  <c r="S377" i="9" s="1"/>
  <c r="Q381" i="9"/>
  <c r="T381" i="9" s="1"/>
  <c r="R381" i="9"/>
  <c r="U381" i="9" s="1"/>
  <c r="S381" i="9"/>
  <c r="O382" i="9"/>
  <c r="P382" i="9"/>
  <c r="T382" i="9"/>
  <c r="U382" i="9"/>
  <c r="L383" i="9"/>
  <c r="M383" i="9"/>
  <c r="P383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M392" i="9"/>
  <c r="P392" i="9" s="1"/>
  <c r="L393" i="9"/>
  <c r="M393" i="9"/>
  <c r="N393" i="9"/>
  <c r="N392" i="9" s="1"/>
  <c r="O393" i="9"/>
  <c r="P393" i="9"/>
  <c r="Q393" i="9"/>
  <c r="R393" i="9"/>
  <c r="S393" i="9"/>
  <c r="T393" i="9"/>
  <c r="U393" i="9"/>
  <c r="L394" i="9"/>
  <c r="M394" i="9"/>
  <c r="N394" i="9"/>
  <c r="P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Q395" i="9" s="1"/>
  <c r="T395" i="9" s="1"/>
  <c r="R397" i="9"/>
  <c r="S397" i="9"/>
  <c r="S394" i="9" s="1"/>
  <c r="L398" i="9"/>
  <c r="O398" i="9" s="1"/>
  <c r="M398" i="9"/>
  <c r="P398" i="9" s="1"/>
  <c r="N398" i="9"/>
  <c r="Q398" i="9"/>
  <c r="T398" i="9" s="1"/>
  <c r="R398" i="9"/>
  <c r="S398" i="9"/>
  <c r="U398" i="9"/>
  <c r="O399" i="9"/>
  <c r="P399" i="9"/>
  <c r="T399" i="9"/>
  <c r="U399" i="9"/>
  <c r="O400" i="9"/>
  <c r="P400" i="9"/>
  <c r="T400" i="9"/>
  <c r="U400" i="9"/>
  <c r="L414" i="9"/>
  <c r="O414" i="9" s="1"/>
  <c r="M414" i="9"/>
  <c r="P414" i="9" s="1"/>
  <c r="N414" i="9"/>
  <c r="Q414" i="9"/>
  <c r="R414" i="9"/>
  <c r="U414" i="9" s="1"/>
  <c r="S414" i="9"/>
  <c r="T414" i="9"/>
  <c r="O417" i="9"/>
  <c r="P417" i="9"/>
  <c r="T417" i="9"/>
  <c r="U417" i="9"/>
  <c r="L418" i="9"/>
  <c r="M418" i="9"/>
  <c r="N418" i="9"/>
  <c r="Q418" i="9"/>
  <c r="R418" i="9"/>
  <c r="S418" i="9"/>
  <c r="S415" i="9" s="1"/>
  <c r="S413" i="9" s="1"/>
  <c r="Q419" i="9"/>
  <c r="T419" i="9" s="1"/>
  <c r="R419" i="9"/>
  <c r="U419" i="9" s="1"/>
  <c r="S419" i="9"/>
  <c r="O420" i="9"/>
  <c r="P420" i="9"/>
  <c r="T420" i="9"/>
  <c r="U420" i="9"/>
  <c r="L421" i="9"/>
  <c r="O421" i="9" s="1"/>
  <c r="M421" i="9"/>
  <c r="M419" i="9" s="1"/>
  <c r="P419" i="9" s="1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I441" i="9"/>
  <c r="K441" i="9" s="1"/>
  <c r="J441" i="9"/>
  <c r="J446" i="9"/>
  <c r="J440" i="9" s="1"/>
  <c r="J423" i="9" s="1"/>
  <c r="J412" i="9" s="1"/>
  <c r="J447" i="9"/>
  <c r="I457" i="9"/>
  <c r="I456" i="9" s="1"/>
  <c r="I458" i="9"/>
  <c r="J459" i="9"/>
  <c r="J457" i="9" s="1"/>
  <c r="J456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J484" i="9"/>
  <c r="K484" i="9"/>
  <c r="I485" i="9"/>
  <c r="K485" i="9" s="1"/>
  <c r="J485" i="9"/>
  <c r="L494" i="9"/>
  <c r="O494" i="9" s="1"/>
  <c r="M494" i="9"/>
  <c r="N494" i="9"/>
  <c r="Q494" i="9"/>
  <c r="R494" i="9"/>
  <c r="S494" i="9"/>
  <c r="T494" i="9"/>
  <c r="O497" i="9"/>
  <c r="P497" i="9"/>
  <c r="T497" i="9"/>
  <c r="U497" i="9"/>
  <c r="L498" i="9"/>
  <c r="L496" i="9" s="1"/>
  <c r="O496" i="9" s="1"/>
  <c r="M498" i="9"/>
  <c r="M496" i="9" s="1"/>
  <c r="P496" i="9" s="1"/>
  <c r="N498" i="9"/>
  <c r="Q498" i="9"/>
  <c r="Q495" i="9" s="1"/>
  <c r="Q493" i="9" s="1"/>
  <c r="T493" i="9" s="1"/>
  <c r="R498" i="9"/>
  <c r="U498" i="9" s="1"/>
  <c r="S498" i="9"/>
  <c r="S495" i="9" s="1"/>
  <c r="Q499" i="9"/>
  <c r="T499" i="9" s="1"/>
  <c r="R499" i="9"/>
  <c r="U499" i="9" s="1"/>
  <c r="S499" i="9"/>
  <c r="O500" i="9"/>
  <c r="P500" i="9"/>
  <c r="T500" i="9"/>
  <c r="U500" i="9"/>
  <c r="L501" i="9"/>
  <c r="L499" i="9" s="1"/>
  <c r="O499" i="9" s="1"/>
  <c r="M501" i="9"/>
  <c r="M499" i="9" s="1"/>
  <c r="P499" i="9" s="1"/>
  <c r="N501" i="9"/>
  <c r="N499" i="9" s="1"/>
  <c r="T501" i="9"/>
  <c r="U501" i="9"/>
  <c r="I503" i="9"/>
  <c r="I504" i="9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P514" i="9" s="1"/>
  <c r="N514" i="9"/>
  <c r="Q514" i="9"/>
  <c r="R514" i="9"/>
  <c r="U514" i="9" s="1"/>
  <c r="S514" i="9"/>
  <c r="T514" i="9"/>
  <c r="Q515" i="9"/>
  <c r="R515" i="9"/>
  <c r="U515" i="9" s="1"/>
  <c r="S515" i="9"/>
  <c r="T515" i="9"/>
  <c r="Q516" i="9"/>
  <c r="R516" i="9"/>
  <c r="U516" i="9" s="1"/>
  <c r="S516" i="9"/>
  <c r="T516" i="9"/>
  <c r="O517" i="9"/>
  <c r="P517" i="9"/>
  <c r="T517" i="9"/>
  <c r="U517" i="9"/>
  <c r="L518" i="9"/>
  <c r="O518" i="9" s="1"/>
  <c r="M518" i="9"/>
  <c r="N518" i="9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M519" i="9" s="1"/>
  <c r="P519" i="9" s="1"/>
  <c r="N521" i="9"/>
  <c r="N519" i="9" s="1"/>
  <c r="T521" i="9"/>
  <c r="U521" i="9"/>
  <c r="K523" i="9"/>
  <c r="K524" i="9"/>
  <c r="I533" i="9"/>
  <c r="K533" i="9" s="1"/>
  <c r="J533" i="9"/>
  <c r="L535" i="9"/>
  <c r="M535" i="9"/>
  <c r="P535" i="9" s="1"/>
  <c r="N535" i="9"/>
  <c r="O535" i="9"/>
  <c r="Q535" i="9"/>
  <c r="T535" i="9" s="1"/>
  <c r="R535" i="9"/>
  <c r="R534" i="9" s="1"/>
  <c r="U534" i="9" s="1"/>
  <c r="S535" i="9"/>
  <c r="S534" i="9" s="1"/>
  <c r="Q536" i="9"/>
  <c r="T536" i="9" s="1"/>
  <c r="R536" i="9"/>
  <c r="S536" i="9"/>
  <c r="U536" i="9"/>
  <c r="Q537" i="9"/>
  <c r="T537" i="9" s="1"/>
  <c r="R537" i="9"/>
  <c r="S537" i="9"/>
  <c r="U537" i="9"/>
  <c r="O538" i="9"/>
  <c r="P538" i="9"/>
  <c r="T538" i="9"/>
  <c r="U538" i="9"/>
  <c r="L539" i="9"/>
  <c r="L537" i="9" s="1"/>
  <c r="O537" i="9" s="1"/>
  <c r="M539" i="9"/>
  <c r="P539" i="9" s="1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O542" i="9" s="1"/>
  <c r="M542" i="9"/>
  <c r="M540" i="9" s="1"/>
  <c r="P540" i="9" s="1"/>
  <c r="N542" i="9"/>
  <c r="N540" i="9" s="1"/>
  <c r="T542" i="9"/>
  <c r="U542" i="9"/>
  <c r="I554" i="9"/>
  <c r="K554" i="9" s="1"/>
  <c r="J554" i="9"/>
  <c r="L556" i="9"/>
  <c r="O556" i="9" s="1"/>
  <c r="M556" i="9"/>
  <c r="N556" i="9"/>
  <c r="P556" i="9"/>
  <c r="Q556" i="9"/>
  <c r="R556" i="9"/>
  <c r="U556" i="9" s="1"/>
  <c r="S556" i="9"/>
  <c r="T556" i="9"/>
  <c r="Q557" i="9"/>
  <c r="T557" i="9" s="1"/>
  <c r="R557" i="9"/>
  <c r="U557" i="9" s="1"/>
  <c r="S557" i="9"/>
  <c r="Q558" i="9"/>
  <c r="T558" i="9" s="1"/>
  <c r="R558" i="9"/>
  <c r="S558" i="9"/>
  <c r="U558" i="9"/>
  <c r="O559" i="9"/>
  <c r="P559" i="9"/>
  <c r="T559" i="9"/>
  <c r="U559" i="9"/>
  <c r="L560" i="9"/>
  <c r="M560" i="9"/>
  <c r="N560" i="9"/>
  <c r="N558" i="9" s="1"/>
  <c r="T560" i="9"/>
  <c r="U560" i="9"/>
  <c r="Q561" i="9"/>
  <c r="T561" i="9" s="1"/>
  <c r="R561" i="9"/>
  <c r="S561" i="9"/>
  <c r="U561" i="9"/>
  <c r="O562" i="9"/>
  <c r="P562" i="9"/>
  <c r="T562" i="9"/>
  <c r="U562" i="9"/>
  <c r="L563" i="9"/>
  <c r="L561" i="9" s="1"/>
  <c r="O561" i="9" s="1"/>
  <c r="M563" i="9"/>
  <c r="N563" i="9"/>
  <c r="N561" i="9" s="1"/>
  <c r="T563" i="9"/>
  <c r="U563" i="9"/>
  <c r="I575" i="9"/>
  <c r="K575" i="9" s="1"/>
  <c r="J575" i="9"/>
  <c r="L577" i="9"/>
  <c r="M577" i="9"/>
  <c r="N577" i="9"/>
  <c r="Q577" i="9"/>
  <c r="T577" i="9" s="1"/>
  <c r="R577" i="9"/>
  <c r="S577" i="9"/>
  <c r="Q578" i="9"/>
  <c r="T578" i="9" s="1"/>
  <c r="R578" i="9"/>
  <c r="S578" i="9"/>
  <c r="U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O579" i="9" s="1"/>
  <c r="M581" i="9"/>
  <c r="M579" i="9" s="1"/>
  <c r="P579" i="9" s="1"/>
  <c r="N581" i="9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M584" i="9"/>
  <c r="M582" i="9" s="1"/>
  <c r="P582" i="9" s="1"/>
  <c r="N584" i="9"/>
  <c r="N582" i="9" s="1"/>
  <c r="T584" i="9"/>
  <c r="U584" i="9"/>
  <c r="L600" i="9"/>
  <c r="O600" i="9" s="1"/>
  <c r="M600" i="9"/>
  <c r="N600" i="9"/>
  <c r="Q600" i="9"/>
  <c r="T600" i="9" s="1"/>
  <c r="R600" i="9"/>
  <c r="S600" i="9"/>
  <c r="U600" i="9"/>
  <c r="O603" i="9"/>
  <c r="P603" i="9"/>
  <c r="T603" i="9"/>
  <c r="U603" i="9"/>
  <c r="L604" i="9"/>
  <c r="M604" i="9"/>
  <c r="N604" i="9"/>
  <c r="Q604" i="9"/>
  <c r="T604" i="9" s="1"/>
  <c r="R604" i="9"/>
  <c r="S604" i="9"/>
  <c r="S602" i="9" s="1"/>
  <c r="O606" i="9"/>
  <c r="P606" i="9"/>
  <c r="T606" i="9"/>
  <c r="U606" i="9"/>
  <c r="L607" i="9"/>
  <c r="O607" i="9" s="1"/>
  <c r="M607" i="9"/>
  <c r="M605" i="9" s="1"/>
  <c r="P605" i="9" s="1"/>
  <c r="N607" i="9"/>
  <c r="N605" i="9" s="1"/>
  <c r="Q607" i="9"/>
  <c r="T607" i="9" s="1"/>
  <c r="R607" i="9"/>
  <c r="R605" i="9" s="1"/>
  <c r="U605" i="9" s="1"/>
  <c r="S607" i="9"/>
  <c r="S605" i="9" s="1"/>
  <c r="M616" i="9"/>
  <c r="P616" i="9"/>
  <c r="L617" i="9"/>
  <c r="M617" i="9"/>
  <c r="N617" i="9"/>
  <c r="P617" i="9"/>
  <c r="Q617" i="9"/>
  <c r="T617" i="9" s="1"/>
  <c r="R617" i="9"/>
  <c r="U617" i="9" s="1"/>
  <c r="S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8" i="9" s="1"/>
  <c r="R621" i="9"/>
  <c r="S621" i="9"/>
  <c r="S619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15" i="9" s="1"/>
  <c r="K615" i="9" s="1"/>
  <c r="J626" i="9"/>
  <c r="J615" i="9" s="1"/>
  <c r="I627" i="9"/>
  <c r="K627" i="9" s="1"/>
  <c r="I628" i="9"/>
  <c r="K628" i="9" s="1"/>
  <c r="J632" i="9"/>
  <c r="I635" i="9"/>
  <c r="K635" i="9" s="1"/>
  <c r="J636" i="9"/>
  <c r="J635" i="9" s="1"/>
  <c r="L643" i="9"/>
  <c r="L642" i="9" s="1"/>
  <c r="O642" i="9" s="1"/>
  <c r="M643" i="9"/>
  <c r="P643" i="9" s="1"/>
  <c r="N643" i="9"/>
  <c r="O643" i="9"/>
  <c r="Q643" i="9"/>
  <c r="R643" i="9"/>
  <c r="S643" i="9"/>
  <c r="T643" i="9"/>
  <c r="U643" i="9"/>
  <c r="L644" i="9"/>
  <c r="O644" i="9" s="1"/>
  <c r="M644" i="9"/>
  <c r="N644" i="9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R647" i="9"/>
  <c r="R645" i="9" s="1"/>
  <c r="S647" i="9"/>
  <c r="S644" i="9" s="1"/>
  <c r="L648" i="9"/>
  <c r="M648" i="9"/>
  <c r="N648" i="9"/>
  <c r="O648" i="9"/>
  <c r="P648" i="9"/>
  <c r="Q648" i="9"/>
  <c r="T648" i="9" s="1"/>
  <c r="R648" i="9"/>
  <c r="S648" i="9"/>
  <c r="U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M691" i="9"/>
  <c r="N691" i="9"/>
  <c r="P691" i="9"/>
  <c r="Q691" i="9"/>
  <c r="R691" i="9"/>
  <c r="U691" i="9" s="1"/>
  <c r="S691" i="9"/>
  <c r="L692" i="9"/>
  <c r="O692" i="9" s="1"/>
  <c r="M692" i="9"/>
  <c r="P692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3" i="9" s="1"/>
  <c r="R695" i="9"/>
  <c r="R693" i="9" s="1"/>
  <c r="S695" i="9"/>
  <c r="S692" i="9" s="1"/>
  <c r="S690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P715" i="9" s="1"/>
  <c r="N715" i="9"/>
  <c r="O715" i="9"/>
  <c r="Q715" i="9"/>
  <c r="Q714" i="9" s="1"/>
  <c r="T714" i="9" s="1"/>
  <c r="R715" i="9"/>
  <c r="U715" i="9" s="1"/>
  <c r="S715" i="9"/>
  <c r="T715" i="9"/>
  <c r="L716" i="9"/>
  <c r="O716" i="9" s="1"/>
  <c r="M716" i="9"/>
  <c r="N716" i="9"/>
  <c r="P716" i="9"/>
  <c r="Q716" i="9"/>
  <c r="T716" i="9" s="1"/>
  <c r="R716" i="9"/>
  <c r="S716" i="9"/>
  <c r="U716" i="9"/>
  <c r="L717" i="9"/>
  <c r="O717" i="9" s="1"/>
  <c r="M717" i="9"/>
  <c r="P717" i="9" s="1"/>
  <c r="N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J726" i="9"/>
  <c r="I727" i="9"/>
  <c r="J727" i="9"/>
  <c r="L729" i="9"/>
  <c r="M729" i="9"/>
  <c r="P729" i="9" s="1"/>
  <c r="N729" i="9"/>
  <c r="O729" i="9"/>
  <c r="Q729" i="9"/>
  <c r="R729" i="9"/>
  <c r="S729" i="9"/>
  <c r="T729" i="9"/>
  <c r="U729" i="9"/>
  <c r="L730" i="9"/>
  <c r="O730" i="9" s="1"/>
  <c r="M730" i="9"/>
  <c r="N730" i="9"/>
  <c r="P730" i="9"/>
  <c r="L731" i="9"/>
  <c r="O731" i="9" s="1"/>
  <c r="M731" i="9"/>
  <c r="N731" i="9"/>
  <c r="P731" i="9"/>
  <c r="O732" i="9"/>
  <c r="P732" i="9"/>
  <c r="T732" i="9"/>
  <c r="U732" i="9"/>
  <c r="O733" i="9"/>
  <c r="P733" i="9"/>
  <c r="Q733" i="9"/>
  <c r="Q730" i="9" s="1"/>
  <c r="R733" i="9"/>
  <c r="R731" i="9" s="1"/>
  <c r="S733" i="9"/>
  <c r="S730" i="9" s="1"/>
  <c r="L734" i="9"/>
  <c r="M734" i="9"/>
  <c r="P734" i="9" s="1"/>
  <c r="N734" i="9"/>
  <c r="O734" i="9"/>
  <c r="Q734" i="9"/>
  <c r="T734" i="9" s="1"/>
  <c r="R734" i="9"/>
  <c r="S734" i="9"/>
  <c r="U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O761" i="9" s="1"/>
  <c r="M761" i="9"/>
  <c r="N761" i="9"/>
  <c r="N760" i="9" s="1"/>
  <c r="Q761" i="9"/>
  <c r="R761" i="9"/>
  <c r="S761" i="9"/>
  <c r="U761" i="9"/>
  <c r="L762" i="9"/>
  <c r="L760" i="9" s="1"/>
  <c r="O760" i="9" s="1"/>
  <c r="M762" i="9"/>
  <c r="P762" i="9" s="1"/>
  <c r="N762" i="9"/>
  <c r="O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2" i="9" s="1"/>
  <c r="R765" i="9"/>
  <c r="R762" i="9" s="1"/>
  <c r="R760" i="9" s="1"/>
  <c r="S765" i="9"/>
  <c r="L766" i="9"/>
  <c r="O766" i="9" s="1"/>
  <c r="M766" i="9"/>
  <c r="N766" i="9"/>
  <c r="P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M22" i="8"/>
  <c r="N22" i="8"/>
  <c r="N19" i="8" s="1"/>
  <c r="Q22" i="8"/>
  <c r="R22" i="8"/>
  <c r="S22" i="8"/>
  <c r="T22" i="8"/>
  <c r="L25" i="8"/>
  <c r="M25" i="8"/>
  <c r="N25" i="8"/>
  <c r="Q25" i="8"/>
  <c r="T25" i="8" s="1"/>
  <c r="R25" i="8"/>
  <c r="S25" i="8"/>
  <c r="L45" i="8"/>
  <c r="O45" i="8" s="1"/>
  <c r="M45" i="8"/>
  <c r="N45" i="8"/>
  <c r="Q45" i="8"/>
  <c r="T45" i="8" s="1"/>
  <c r="R45" i="8"/>
  <c r="S45" i="8"/>
  <c r="S44" i="8" s="1"/>
  <c r="U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M47" i="8" s="1"/>
  <c r="N49" i="8"/>
  <c r="T49" i="8"/>
  <c r="U49" i="8"/>
  <c r="Q50" i="8"/>
  <c r="R50" i="8"/>
  <c r="U50" i="8" s="1"/>
  <c r="S50" i="8"/>
  <c r="T50" i="8"/>
  <c r="O51" i="8"/>
  <c r="P51" i="8"/>
  <c r="T51" i="8"/>
  <c r="U51" i="8"/>
  <c r="L52" i="8"/>
  <c r="O52" i="8" s="1"/>
  <c r="M52" i="8"/>
  <c r="N52" i="8"/>
  <c r="N50" i="8" s="1"/>
  <c r="T52" i="8"/>
  <c r="U52" i="8"/>
  <c r="L60" i="8"/>
  <c r="M60" i="8"/>
  <c r="N60" i="8"/>
  <c r="O60" i="8"/>
  <c r="Q60" i="8"/>
  <c r="Q59" i="8" s="1"/>
  <c r="T59" i="8" s="1"/>
  <c r="R60" i="8"/>
  <c r="U60" i="8" s="1"/>
  <c r="S60" i="8"/>
  <c r="T60" i="8"/>
  <c r="Q61" i="8"/>
  <c r="T61" i="8" s="1"/>
  <c r="R61" i="8"/>
  <c r="S61" i="8"/>
  <c r="U61" i="8"/>
  <c r="Q62" i="8"/>
  <c r="T62" i="8" s="1"/>
  <c r="R62" i="8"/>
  <c r="U62" i="8" s="1"/>
  <c r="S62" i="8"/>
  <c r="O63" i="8"/>
  <c r="P63" i="8"/>
  <c r="T63" i="8"/>
  <c r="U63" i="8"/>
  <c r="L64" i="8"/>
  <c r="M64" i="8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T73" i="8" s="1"/>
  <c r="R73" i="8"/>
  <c r="S73" i="8"/>
  <c r="U73" i="8"/>
  <c r="O76" i="8"/>
  <c r="P76" i="8"/>
  <c r="T76" i="8"/>
  <c r="U76" i="8"/>
  <c r="L77" i="8"/>
  <c r="L75" i="8" s="1"/>
  <c r="M77" i="8"/>
  <c r="N77" i="8"/>
  <c r="N75" i="8" s="1"/>
  <c r="Q77" i="8"/>
  <c r="R77" i="8"/>
  <c r="S77" i="8"/>
  <c r="S75" i="8" s="1"/>
  <c r="O79" i="8"/>
  <c r="P79" i="8"/>
  <c r="T79" i="8"/>
  <c r="U79" i="8"/>
  <c r="L80" i="8"/>
  <c r="M80" i="8"/>
  <c r="P80" i="8" s="1"/>
  <c r="N80" i="8"/>
  <c r="N78" i="8" s="1"/>
  <c r="Q80" i="8"/>
  <c r="Q78" i="8" s="1"/>
  <c r="T78" i="8" s="1"/>
  <c r="R80" i="8"/>
  <c r="U80" i="8" s="1"/>
  <c r="S80" i="8"/>
  <c r="S78" i="8" s="1"/>
  <c r="J82" i="8"/>
  <c r="J70" i="8" s="1"/>
  <c r="J83" i="8"/>
  <c r="J71" i="8" s="1"/>
  <c r="I84" i="8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Q95" i="8"/>
  <c r="R95" i="8"/>
  <c r="S95" i="8"/>
  <c r="O98" i="8"/>
  <c r="P98" i="8"/>
  <c r="T98" i="8"/>
  <c r="U98" i="8"/>
  <c r="L99" i="8"/>
  <c r="M99" i="8"/>
  <c r="N99" i="8"/>
  <c r="Q99" i="8"/>
  <c r="Q96" i="8" s="1"/>
  <c r="T96" i="8" s="1"/>
  <c r="R99" i="8"/>
  <c r="R96" i="8" s="1"/>
  <c r="U96" i="8" s="1"/>
  <c r="S99" i="8"/>
  <c r="S97" i="8" s="1"/>
  <c r="Q100" i="8"/>
  <c r="T100" i="8" s="1"/>
  <c r="R100" i="8"/>
  <c r="S100" i="8"/>
  <c r="U100" i="8"/>
  <c r="O101" i="8"/>
  <c r="P101" i="8"/>
  <c r="T101" i="8"/>
  <c r="U101" i="8"/>
  <c r="L102" i="8"/>
  <c r="O102" i="8" s="1"/>
  <c r="M102" i="8"/>
  <c r="N102" i="8"/>
  <c r="T102" i="8"/>
  <c r="U102" i="8"/>
  <c r="I108" i="8"/>
  <c r="I92" i="8" s="1"/>
  <c r="K92" i="8" s="1"/>
  <c r="I109" i="8"/>
  <c r="I114" i="8"/>
  <c r="K114" i="8" s="1"/>
  <c r="J116" i="8"/>
  <c r="L118" i="8"/>
  <c r="M118" i="8"/>
  <c r="N118" i="8"/>
  <c r="Q118" i="8"/>
  <c r="R118" i="8"/>
  <c r="S118" i="8"/>
  <c r="O121" i="8"/>
  <c r="P121" i="8"/>
  <c r="T121" i="8"/>
  <c r="U121" i="8"/>
  <c r="L122" i="8"/>
  <c r="O122" i="8" s="1"/>
  <c r="M122" i="8"/>
  <c r="N122" i="8"/>
  <c r="N120" i="8" s="1"/>
  <c r="Q122" i="8"/>
  <c r="Q120" i="8" s="1"/>
  <c r="R122" i="8"/>
  <c r="R120" i="8" s="1"/>
  <c r="S122" i="8"/>
  <c r="O124" i="8"/>
  <c r="P124" i="8"/>
  <c r="T124" i="8"/>
  <c r="U124" i="8"/>
  <c r="L125" i="8"/>
  <c r="L123" i="8" s="1"/>
  <c r="O123" i="8" s="1"/>
  <c r="M125" i="8"/>
  <c r="N125" i="8"/>
  <c r="N123" i="8" s="1"/>
  <c r="Q125" i="8"/>
  <c r="R125" i="8"/>
  <c r="U125" i="8" s="1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R140" i="8"/>
  <c r="S140" i="8"/>
  <c r="T140" i="8"/>
  <c r="O143" i="8"/>
  <c r="P143" i="8"/>
  <c r="T143" i="8"/>
  <c r="U143" i="8"/>
  <c r="L144" i="8"/>
  <c r="L142" i="8" s="1"/>
  <c r="M144" i="8"/>
  <c r="N144" i="8"/>
  <c r="Q144" i="8"/>
  <c r="Q142" i="8" s="1"/>
  <c r="R144" i="8"/>
  <c r="S144" i="8"/>
  <c r="O146" i="8"/>
  <c r="P146" i="8"/>
  <c r="T146" i="8"/>
  <c r="U146" i="8"/>
  <c r="L147" i="8"/>
  <c r="O147" i="8" s="1"/>
  <c r="M147" i="8"/>
  <c r="M145" i="8" s="1"/>
  <c r="P145" i="8" s="1"/>
  <c r="N147" i="8"/>
  <c r="Q147" i="8"/>
  <c r="Q145" i="8" s="1"/>
  <c r="R147" i="8"/>
  <c r="S147" i="8"/>
  <c r="I150" i="8"/>
  <c r="K150" i="8" s="1"/>
  <c r="I151" i="8"/>
  <c r="K151" i="8" s="1"/>
  <c r="I152" i="8"/>
  <c r="I137" i="8" s="1"/>
  <c r="I153" i="8"/>
  <c r="I138" i="8" s="1"/>
  <c r="K138" i="8" s="1"/>
  <c r="I154" i="8"/>
  <c r="I136" i="8" s="1"/>
  <c r="K136" i="8" s="1"/>
  <c r="J156" i="8"/>
  <c r="L158" i="8"/>
  <c r="M158" i="8"/>
  <c r="N158" i="8"/>
  <c r="Q158" i="8"/>
  <c r="R158" i="8"/>
  <c r="S158" i="8"/>
  <c r="O161" i="8"/>
  <c r="P161" i="8"/>
  <c r="T161" i="8"/>
  <c r="U161" i="8"/>
  <c r="L162" i="8"/>
  <c r="M162" i="8"/>
  <c r="N162" i="8"/>
  <c r="Q162" i="8"/>
  <c r="Q159" i="8" s="1"/>
  <c r="T159" i="8" s="1"/>
  <c r="R162" i="8"/>
  <c r="R159" i="8" s="1"/>
  <c r="U159" i="8" s="1"/>
  <c r="S162" i="8"/>
  <c r="S160" i="8" s="1"/>
  <c r="Q163" i="8"/>
  <c r="T163" i="8" s="1"/>
  <c r="R163" i="8"/>
  <c r="U163" i="8" s="1"/>
  <c r="S163" i="8"/>
  <c r="O164" i="8"/>
  <c r="P164" i="8"/>
  <c r="T164" i="8"/>
  <c r="U164" i="8"/>
  <c r="L165" i="8"/>
  <c r="O165" i="8" s="1"/>
  <c r="M165" i="8"/>
  <c r="M163" i="8" s="1"/>
  <c r="P163" i="8" s="1"/>
  <c r="N165" i="8"/>
  <c r="N163" i="8" s="1"/>
  <c r="T165" i="8"/>
  <c r="U165" i="8"/>
  <c r="I167" i="8"/>
  <c r="I156" i="8" s="1"/>
  <c r="J172" i="8"/>
  <c r="L174" i="8"/>
  <c r="O174" i="8" s="1"/>
  <c r="M174" i="8"/>
  <c r="N174" i="8"/>
  <c r="Q174" i="8"/>
  <c r="T174" i="8" s="1"/>
  <c r="R174" i="8"/>
  <c r="U174" i="8" s="1"/>
  <c r="S174" i="8"/>
  <c r="O177" i="8"/>
  <c r="P177" i="8"/>
  <c r="T177" i="8"/>
  <c r="U177" i="8"/>
  <c r="L178" i="8"/>
  <c r="M178" i="8"/>
  <c r="N178" i="8"/>
  <c r="Q178" i="8"/>
  <c r="Q175" i="8" s="1"/>
  <c r="R178" i="8"/>
  <c r="R175" i="8" s="1"/>
  <c r="S178" i="8"/>
  <c r="S176" i="8" s="1"/>
  <c r="Q179" i="8"/>
  <c r="R179" i="8"/>
  <c r="U179" i="8" s="1"/>
  <c r="S179" i="8"/>
  <c r="T179" i="8"/>
  <c r="O180" i="8"/>
  <c r="P180" i="8"/>
  <c r="T180" i="8"/>
  <c r="U180" i="8"/>
  <c r="L181" i="8"/>
  <c r="M181" i="8"/>
  <c r="N181" i="8"/>
  <c r="N179" i="8" s="1"/>
  <c r="T181" i="8"/>
  <c r="U181" i="8"/>
  <c r="I183" i="8"/>
  <c r="K184" i="8"/>
  <c r="L187" i="8"/>
  <c r="O187" i="8" s="1"/>
  <c r="M187" i="8"/>
  <c r="N187" i="8"/>
  <c r="Q187" i="8"/>
  <c r="R187" i="8"/>
  <c r="U187" i="8" s="1"/>
  <c r="S187" i="8"/>
  <c r="T187" i="8"/>
  <c r="O190" i="8"/>
  <c r="P190" i="8"/>
  <c r="T190" i="8"/>
  <c r="U190" i="8"/>
  <c r="L191" i="8"/>
  <c r="L189" i="8" s="1"/>
  <c r="M191" i="8"/>
  <c r="M189" i="8" s="1"/>
  <c r="N191" i="8"/>
  <c r="Q191" i="8"/>
  <c r="R191" i="8"/>
  <c r="R189" i="8" s="1"/>
  <c r="S191" i="8"/>
  <c r="S189" i="8" s="1"/>
  <c r="O193" i="8"/>
  <c r="P193" i="8"/>
  <c r="T193" i="8"/>
  <c r="U193" i="8"/>
  <c r="L194" i="8"/>
  <c r="L192" i="8" s="1"/>
  <c r="O192" i="8" s="1"/>
  <c r="M194" i="8"/>
  <c r="M192" i="8" s="1"/>
  <c r="P192" i="8" s="1"/>
  <c r="N194" i="8"/>
  <c r="N192" i="8" s="1"/>
  <c r="Q194" i="8"/>
  <c r="T194" i="8" s="1"/>
  <c r="R194" i="8"/>
  <c r="R192" i="8" s="1"/>
  <c r="U192" i="8" s="1"/>
  <c r="S194" i="8"/>
  <c r="S192" i="8" s="1"/>
  <c r="J195" i="8"/>
  <c r="L196" i="8"/>
  <c r="O196" i="8" s="1"/>
  <c r="P196" i="8"/>
  <c r="I198" i="8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Q214" i="8"/>
  <c r="S214" i="8"/>
  <c r="T214" i="8"/>
  <c r="U214" i="8"/>
  <c r="L215" i="8"/>
  <c r="L216" i="8"/>
  <c r="L217" i="8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K230" i="8" s="1"/>
  <c r="N233" i="8"/>
  <c r="Q233" i="8"/>
  <c r="S233" i="8"/>
  <c r="N234" i="8"/>
  <c r="Q234" i="8"/>
  <c r="S234" i="8"/>
  <c r="N235" i="8"/>
  <c r="S235" i="8"/>
  <c r="N236" i="8"/>
  <c r="Q236" i="8"/>
  <c r="S236" i="8"/>
  <c r="J238" i="8"/>
  <c r="J240" i="8"/>
  <c r="J241" i="8"/>
  <c r="J242" i="8"/>
  <c r="J231" i="8" s="1"/>
  <c r="J185" i="8" s="1"/>
  <c r="N243" i="8"/>
  <c r="P243" i="8"/>
  <c r="S243" i="8"/>
  <c r="U243" i="8"/>
  <c r="L244" i="8"/>
  <c r="L245" i="8"/>
  <c r="L246" i="8"/>
  <c r="Q246" i="8"/>
  <c r="L247" i="8"/>
  <c r="I249" i="8"/>
  <c r="K249" i="8" s="1"/>
  <c r="I251" i="8"/>
  <c r="I240" i="8" s="1"/>
  <c r="I252" i="8"/>
  <c r="I241" i="8" s="1"/>
  <c r="J253" i="8"/>
  <c r="N254" i="8"/>
  <c r="P254" i="8"/>
  <c r="Q254" i="8"/>
  <c r="T254" i="8" s="1"/>
  <c r="S254" i="8"/>
  <c r="S232" i="8" s="1"/>
  <c r="U254" i="8"/>
  <c r="L255" i="8"/>
  <c r="L256" i="8"/>
  <c r="L257" i="8"/>
  <c r="L258" i="8"/>
  <c r="I260" i="8"/>
  <c r="K262" i="8"/>
  <c r="K263" i="8"/>
  <c r="J265" i="8"/>
  <c r="L267" i="8"/>
  <c r="O267" i="8" s="1"/>
  <c r="M267" i="8"/>
  <c r="N267" i="8"/>
  <c r="P267" i="8"/>
  <c r="Q267" i="8"/>
  <c r="R267" i="8"/>
  <c r="U267" i="8" s="1"/>
  <c r="S267" i="8"/>
  <c r="O270" i="8"/>
  <c r="P270" i="8"/>
  <c r="T270" i="8"/>
  <c r="U270" i="8"/>
  <c r="L271" i="8"/>
  <c r="M271" i="8"/>
  <c r="N271" i="8"/>
  <c r="N269" i="8" s="1"/>
  <c r="Q271" i="8"/>
  <c r="R271" i="8"/>
  <c r="S271" i="8"/>
  <c r="S269" i="8" s="1"/>
  <c r="Q272" i="8"/>
  <c r="T272" i="8" s="1"/>
  <c r="R272" i="8"/>
  <c r="S272" i="8"/>
  <c r="U272" i="8"/>
  <c r="O273" i="8"/>
  <c r="P273" i="8"/>
  <c r="T273" i="8"/>
  <c r="U273" i="8"/>
  <c r="L274" i="8"/>
  <c r="M274" i="8"/>
  <c r="N274" i="8"/>
  <c r="N272" i="8" s="1"/>
  <c r="T274" i="8"/>
  <c r="U274" i="8"/>
  <c r="I276" i="8"/>
  <c r="J281" i="8"/>
  <c r="L283" i="8"/>
  <c r="M283" i="8"/>
  <c r="N283" i="8"/>
  <c r="P283" i="8"/>
  <c r="Q283" i="8"/>
  <c r="R283" i="8"/>
  <c r="S283" i="8"/>
  <c r="Q284" i="8"/>
  <c r="T284" i="8" s="1"/>
  <c r="R284" i="8"/>
  <c r="U284" i="8" s="1"/>
  <c r="S284" i="8"/>
  <c r="S282" i="8" s="1"/>
  <c r="Q285" i="8"/>
  <c r="T285" i="8" s="1"/>
  <c r="R285" i="8"/>
  <c r="S285" i="8"/>
  <c r="U285" i="8"/>
  <c r="O286" i="8"/>
  <c r="P286" i="8"/>
  <c r="T286" i="8"/>
  <c r="U286" i="8"/>
  <c r="L287" i="8"/>
  <c r="M287" i="8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L288" i="8" s="1"/>
  <c r="O288" i="8" s="1"/>
  <c r="M290" i="8"/>
  <c r="M288" i="8" s="1"/>
  <c r="P288" i="8" s="1"/>
  <c r="N290" i="8"/>
  <c r="N288" i="8" s="1"/>
  <c r="T290" i="8"/>
  <c r="U290" i="8"/>
  <c r="I292" i="8"/>
  <c r="I281" i="8" s="1"/>
  <c r="I293" i="8"/>
  <c r="J293" i="8"/>
  <c r="J280" i="8" s="1"/>
  <c r="I295" i="8"/>
  <c r="K295" i="8" s="1"/>
  <c r="I296" i="8"/>
  <c r="K296" i="8" s="1"/>
  <c r="I298" i="8"/>
  <c r="K298" i="8" s="1"/>
  <c r="I299" i="8"/>
  <c r="K299" i="8" s="1"/>
  <c r="J302" i="8"/>
  <c r="L304" i="8"/>
  <c r="O304" i="8" s="1"/>
  <c r="M304" i="8"/>
  <c r="N304" i="8"/>
  <c r="Q304" i="8"/>
  <c r="T304" i="8" s="1"/>
  <c r="R304" i="8"/>
  <c r="S304" i="8"/>
  <c r="O307" i="8"/>
  <c r="P307" i="8"/>
  <c r="T307" i="8"/>
  <c r="U307" i="8"/>
  <c r="L308" i="8"/>
  <c r="M308" i="8"/>
  <c r="M306" i="8" s="1"/>
  <c r="N308" i="8"/>
  <c r="Q308" i="8"/>
  <c r="R308" i="8"/>
  <c r="R305" i="8" s="1"/>
  <c r="S308" i="8"/>
  <c r="S306" i="8" s="1"/>
  <c r="Q309" i="8"/>
  <c r="T309" i="8" s="1"/>
  <c r="R309" i="8"/>
  <c r="U309" i="8" s="1"/>
  <c r="S309" i="8"/>
  <c r="O310" i="8"/>
  <c r="P310" i="8"/>
  <c r="T310" i="8"/>
  <c r="U310" i="8"/>
  <c r="L311" i="8"/>
  <c r="L309" i="8" s="1"/>
  <c r="O309" i="8" s="1"/>
  <c r="M311" i="8"/>
  <c r="M309" i="8" s="1"/>
  <c r="P309" i="8" s="1"/>
  <c r="N311" i="8"/>
  <c r="N309" i="8" s="1"/>
  <c r="T311" i="8"/>
  <c r="U311" i="8"/>
  <c r="I314" i="8"/>
  <c r="I302" i="8" s="1"/>
  <c r="K302" i="8" s="1"/>
  <c r="J319" i="8"/>
  <c r="L321" i="8"/>
  <c r="M321" i="8"/>
  <c r="N321" i="8"/>
  <c r="P321" i="8"/>
  <c r="Q321" i="8"/>
  <c r="R321" i="8"/>
  <c r="S321" i="8"/>
  <c r="Q322" i="8"/>
  <c r="T322" i="8" s="1"/>
  <c r="R322" i="8"/>
  <c r="U322" i="8" s="1"/>
  <c r="S322" i="8"/>
  <c r="Q323" i="8"/>
  <c r="R323" i="8"/>
  <c r="U323" i="8" s="1"/>
  <c r="S323" i="8"/>
  <c r="T323" i="8"/>
  <c r="O324" i="8"/>
  <c r="P324" i="8"/>
  <c r="T324" i="8"/>
  <c r="U324" i="8"/>
  <c r="L325" i="8"/>
  <c r="M325" i="8"/>
  <c r="N325" i="8"/>
  <c r="T325" i="8"/>
  <c r="U325" i="8"/>
  <c r="Q326" i="8"/>
  <c r="T326" i="8" s="1"/>
  <c r="R326" i="8"/>
  <c r="U326" i="8" s="1"/>
  <c r="S326" i="8"/>
  <c r="O327" i="8"/>
  <c r="P327" i="8"/>
  <c r="T327" i="8"/>
  <c r="U327" i="8"/>
  <c r="L328" i="8"/>
  <c r="M328" i="8"/>
  <c r="M326" i="8" s="1"/>
  <c r="P326" i="8" s="1"/>
  <c r="N328" i="8"/>
  <c r="N326" i="8" s="1"/>
  <c r="T328" i="8"/>
  <c r="U328" i="8"/>
  <c r="I330" i="8"/>
  <c r="K330" i="8" s="1"/>
  <c r="I332" i="8"/>
  <c r="L334" i="8"/>
  <c r="M334" i="8"/>
  <c r="N334" i="8"/>
  <c r="Q334" i="8"/>
  <c r="T334" i="8" s="1"/>
  <c r="R334" i="8"/>
  <c r="S334" i="8"/>
  <c r="Q335" i="8"/>
  <c r="R335" i="8"/>
  <c r="U335" i="8" s="1"/>
  <c r="S335" i="8"/>
  <c r="T335" i="8"/>
  <c r="Q336" i="8"/>
  <c r="T336" i="8" s="1"/>
  <c r="R336" i="8"/>
  <c r="S336" i="8"/>
  <c r="U336" i="8"/>
  <c r="O337" i="8"/>
  <c r="P337" i="8"/>
  <c r="T337" i="8"/>
  <c r="U337" i="8"/>
  <c r="L338" i="8"/>
  <c r="M338" i="8"/>
  <c r="N338" i="8"/>
  <c r="N336" i="8" s="1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O341" i="8" s="1"/>
  <c r="M341" i="8"/>
  <c r="N341" i="8"/>
  <c r="N339" i="8" s="1"/>
  <c r="T341" i="8"/>
  <c r="U341" i="8"/>
  <c r="J344" i="8"/>
  <c r="K344" i="8"/>
  <c r="I346" i="8"/>
  <c r="J346" i="8"/>
  <c r="J347" i="8"/>
  <c r="J348" i="8"/>
  <c r="J349" i="8"/>
  <c r="D350" i="8"/>
  <c r="J352" i="8"/>
  <c r="J353" i="8"/>
  <c r="J354" i="8"/>
  <c r="L357" i="8"/>
  <c r="O357" i="8" s="1"/>
  <c r="M357" i="8"/>
  <c r="N357" i="8"/>
  <c r="Q357" i="8"/>
  <c r="R357" i="8"/>
  <c r="U357" i="8" s="1"/>
  <c r="S357" i="8"/>
  <c r="Q358" i="8"/>
  <c r="R358" i="8"/>
  <c r="U358" i="8" s="1"/>
  <c r="S358" i="8"/>
  <c r="T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N361" i="8"/>
  <c r="T361" i="8"/>
  <c r="U361" i="8"/>
  <c r="Q362" i="8"/>
  <c r="T362" i="8" s="1"/>
  <c r="R362" i="8"/>
  <c r="S362" i="8"/>
  <c r="U362" i="8"/>
  <c r="O363" i="8"/>
  <c r="P363" i="8"/>
  <c r="T363" i="8"/>
  <c r="U363" i="8"/>
  <c r="L364" i="8"/>
  <c r="O364" i="8" s="1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M376" i="8"/>
  <c r="P376" i="8" s="1"/>
  <c r="N376" i="8"/>
  <c r="O376" i="8"/>
  <c r="Q376" i="8"/>
  <c r="T376" i="8" s="1"/>
  <c r="R376" i="8"/>
  <c r="U376" i="8" s="1"/>
  <c r="S376" i="8"/>
  <c r="O379" i="8"/>
  <c r="P379" i="8"/>
  <c r="T379" i="8"/>
  <c r="U379" i="8"/>
  <c r="L380" i="8"/>
  <c r="O380" i="8" s="1"/>
  <c r="M380" i="8"/>
  <c r="M378" i="8" s="1"/>
  <c r="P378" i="8" s="1"/>
  <c r="N380" i="8"/>
  <c r="Q380" i="8"/>
  <c r="R380" i="8"/>
  <c r="R377" i="8" s="1"/>
  <c r="S380" i="8"/>
  <c r="S377" i="8" s="1"/>
  <c r="Q381" i="8"/>
  <c r="R381" i="8"/>
  <c r="U381" i="8" s="1"/>
  <c r="S381" i="8"/>
  <c r="T381" i="8"/>
  <c r="O382" i="8"/>
  <c r="P382" i="8"/>
  <c r="T382" i="8"/>
  <c r="U382" i="8"/>
  <c r="L383" i="8"/>
  <c r="M383" i="8"/>
  <c r="M381" i="8" s="1"/>
  <c r="P381" i="8" s="1"/>
  <c r="N383" i="8"/>
  <c r="N381" i="8" s="1"/>
  <c r="T383" i="8"/>
  <c r="U383" i="8"/>
  <c r="J385" i="8"/>
  <c r="K385" i="8"/>
  <c r="I386" i="8"/>
  <c r="J386" i="8"/>
  <c r="J387" i="8"/>
  <c r="K387" i="8"/>
  <c r="I388" i="8"/>
  <c r="J388" i="8"/>
  <c r="I391" i="8"/>
  <c r="K391" i="8" s="1"/>
  <c r="J391" i="8"/>
  <c r="L393" i="8"/>
  <c r="L392" i="8" s="1"/>
  <c r="O392" i="8" s="1"/>
  <c r="M393" i="8"/>
  <c r="N393" i="8"/>
  <c r="P393" i="8"/>
  <c r="Q393" i="8"/>
  <c r="R393" i="8"/>
  <c r="S393" i="8"/>
  <c r="U393" i="8"/>
  <c r="L394" i="8"/>
  <c r="O394" i="8" s="1"/>
  <c r="M394" i="8"/>
  <c r="P394" i="8" s="1"/>
  <c r="N394" i="8"/>
  <c r="N392" i="8" s="1"/>
  <c r="L395" i="8"/>
  <c r="M395" i="8"/>
  <c r="P395" i="8" s="1"/>
  <c r="N395" i="8"/>
  <c r="O395" i="8"/>
  <c r="O396" i="8"/>
  <c r="P396" i="8"/>
  <c r="T396" i="8"/>
  <c r="U396" i="8"/>
  <c r="O397" i="8"/>
  <c r="P397" i="8"/>
  <c r="Q397" i="8"/>
  <c r="Q395" i="8" s="1"/>
  <c r="T395" i="8" s="1"/>
  <c r="R397" i="8"/>
  <c r="U397" i="8" s="1"/>
  <c r="S397" i="8"/>
  <c r="L398" i="8"/>
  <c r="O398" i="8" s="1"/>
  <c r="M398" i="8"/>
  <c r="N398" i="8"/>
  <c r="P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P414" i="8"/>
  <c r="Q414" i="8"/>
  <c r="R414" i="8"/>
  <c r="S414" i="8"/>
  <c r="U414" i="8"/>
  <c r="O417" i="8"/>
  <c r="P417" i="8"/>
  <c r="T417" i="8"/>
  <c r="U417" i="8"/>
  <c r="L418" i="8"/>
  <c r="M418" i="8"/>
  <c r="N418" i="8"/>
  <c r="Q418" i="8"/>
  <c r="Q416" i="8" s="1"/>
  <c r="R418" i="8"/>
  <c r="S418" i="8"/>
  <c r="S415" i="8" s="1"/>
  <c r="Q419" i="8"/>
  <c r="R419" i="8"/>
  <c r="S419" i="8"/>
  <c r="T419" i="8"/>
  <c r="U419" i="8"/>
  <c r="O420" i="8"/>
  <c r="P420" i="8"/>
  <c r="T420" i="8"/>
  <c r="U420" i="8"/>
  <c r="L421" i="8"/>
  <c r="M421" i="8"/>
  <c r="P421" i="8" s="1"/>
  <c r="N421" i="8"/>
  <c r="N419" i="8" s="1"/>
  <c r="T421" i="8"/>
  <c r="U421" i="8"/>
  <c r="I424" i="8"/>
  <c r="K424" i="8" s="1"/>
  <c r="J424" i="8"/>
  <c r="I425" i="8"/>
  <c r="J425" i="8"/>
  <c r="I432" i="8"/>
  <c r="J432" i="8"/>
  <c r="I433" i="8"/>
  <c r="K433" i="8" s="1"/>
  <c r="J433" i="8"/>
  <c r="I440" i="8"/>
  <c r="I423" i="8" s="1"/>
  <c r="I441" i="8"/>
  <c r="J446" i="8"/>
  <c r="J440" i="8" s="1"/>
  <c r="J447" i="8"/>
  <c r="J441" i="8" s="1"/>
  <c r="I457" i="8"/>
  <c r="I456" i="8" s="1"/>
  <c r="I458" i="8"/>
  <c r="J459" i="8"/>
  <c r="J460" i="8"/>
  <c r="J467" i="8"/>
  <c r="J468" i="8"/>
  <c r="J458" i="8" s="1"/>
  <c r="J475" i="8"/>
  <c r="K475" i="8"/>
  <c r="J476" i="8"/>
  <c r="K476" i="8"/>
  <c r="J477" i="8"/>
  <c r="K477" i="8"/>
  <c r="I484" i="8"/>
  <c r="J484" i="8"/>
  <c r="I485" i="8"/>
  <c r="J485" i="8"/>
  <c r="L494" i="8"/>
  <c r="M494" i="8"/>
  <c r="N494" i="8"/>
  <c r="O494" i="8"/>
  <c r="P494" i="8"/>
  <c r="Q494" i="8"/>
  <c r="R494" i="8"/>
  <c r="S494" i="8"/>
  <c r="U494" i="8"/>
  <c r="O497" i="8"/>
  <c r="P497" i="8"/>
  <c r="T497" i="8"/>
  <c r="U497" i="8"/>
  <c r="L498" i="8"/>
  <c r="M498" i="8"/>
  <c r="P498" i="8" s="1"/>
  <c r="N498" i="8"/>
  <c r="Q498" i="8"/>
  <c r="Q496" i="8" s="1"/>
  <c r="T496" i="8" s="1"/>
  <c r="R498" i="8"/>
  <c r="S498" i="8"/>
  <c r="S495" i="8" s="1"/>
  <c r="Q499" i="8"/>
  <c r="R499" i="8"/>
  <c r="S499" i="8"/>
  <c r="T499" i="8"/>
  <c r="U499" i="8"/>
  <c r="O500" i="8"/>
  <c r="P500" i="8"/>
  <c r="T500" i="8"/>
  <c r="U500" i="8"/>
  <c r="L501" i="8"/>
  <c r="M501" i="8"/>
  <c r="N501" i="8"/>
  <c r="N499" i="8" s="1"/>
  <c r="T501" i="8"/>
  <c r="U501" i="8"/>
  <c r="I503" i="8"/>
  <c r="K503" i="8" s="1"/>
  <c r="I504" i="8"/>
  <c r="K504" i="8" s="1"/>
  <c r="I505" i="8"/>
  <c r="K505" i="8" s="1"/>
  <c r="I506" i="8"/>
  <c r="I507" i="8"/>
  <c r="K507" i="8" s="1"/>
  <c r="K508" i="8"/>
  <c r="I509" i="8"/>
  <c r="K509" i="8" s="1"/>
  <c r="I512" i="8"/>
  <c r="K512" i="8" s="1"/>
  <c r="J512" i="8"/>
  <c r="L514" i="8"/>
  <c r="O514" i="8" s="1"/>
  <c r="M514" i="8"/>
  <c r="N514" i="8"/>
  <c r="Q514" i="8"/>
  <c r="R514" i="8"/>
  <c r="U514" i="8" s="1"/>
  <c r="S514" i="8"/>
  <c r="S513" i="8" s="1"/>
  <c r="T514" i="8"/>
  <c r="Q515" i="8"/>
  <c r="T515" i="8" s="1"/>
  <c r="R515" i="8"/>
  <c r="S515" i="8"/>
  <c r="Q516" i="8"/>
  <c r="T516" i="8" s="1"/>
  <c r="R516" i="8"/>
  <c r="U516" i="8" s="1"/>
  <c r="S516" i="8"/>
  <c r="O517" i="8"/>
  <c r="P517" i="8"/>
  <c r="T517" i="8"/>
  <c r="U517" i="8"/>
  <c r="L518" i="8"/>
  <c r="O518" i="8" s="1"/>
  <c r="M518" i="8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L519" i="8" s="1"/>
  <c r="O519" i="8" s="1"/>
  <c r="M521" i="8"/>
  <c r="N521" i="8"/>
  <c r="N519" i="8" s="1"/>
  <c r="T521" i="8"/>
  <c r="U521" i="8"/>
  <c r="K523" i="8"/>
  <c r="K524" i="8"/>
  <c r="I533" i="8"/>
  <c r="K533" i="8" s="1"/>
  <c r="J533" i="8"/>
  <c r="L535" i="8"/>
  <c r="O535" i="8" s="1"/>
  <c r="M535" i="8"/>
  <c r="P535" i="8" s="1"/>
  <c r="N535" i="8"/>
  <c r="Q535" i="8"/>
  <c r="T535" i="8" s="1"/>
  <c r="R535" i="8"/>
  <c r="S535" i="8"/>
  <c r="Q536" i="8"/>
  <c r="T536" i="8" s="1"/>
  <c r="R536" i="8"/>
  <c r="U536" i="8" s="1"/>
  <c r="S536" i="8"/>
  <c r="S534" i="8" s="1"/>
  <c r="Q537" i="8"/>
  <c r="R537" i="8"/>
  <c r="U537" i="8" s="1"/>
  <c r="S537" i="8"/>
  <c r="T537" i="8"/>
  <c r="O538" i="8"/>
  <c r="P538" i="8"/>
  <c r="T538" i="8"/>
  <c r="U538" i="8"/>
  <c r="L539" i="8"/>
  <c r="M539" i="8"/>
  <c r="P539" i="8" s="1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O542" i="8" s="1"/>
  <c r="M542" i="8"/>
  <c r="M540" i="8" s="1"/>
  <c r="P540" i="8" s="1"/>
  <c r="N542" i="8"/>
  <c r="N540" i="8" s="1"/>
  <c r="T542" i="8"/>
  <c r="U542" i="8"/>
  <c r="I554" i="8"/>
  <c r="J554" i="8"/>
  <c r="K554" i="8" s="1"/>
  <c r="L556" i="8"/>
  <c r="O556" i="8" s="1"/>
  <c r="M556" i="8"/>
  <c r="N556" i="8"/>
  <c r="Q556" i="8"/>
  <c r="R556" i="8"/>
  <c r="U556" i="8" s="1"/>
  <c r="S556" i="8"/>
  <c r="T556" i="8"/>
  <c r="Q557" i="8"/>
  <c r="R557" i="8"/>
  <c r="S557" i="8"/>
  <c r="T557" i="8"/>
  <c r="U557" i="8"/>
  <c r="Q558" i="8"/>
  <c r="T558" i="8" s="1"/>
  <c r="R558" i="8"/>
  <c r="U558" i="8" s="1"/>
  <c r="S558" i="8"/>
  <c r="O559" i="8"/>
  <c r="P559" i="8"/>
  <c r="T559" i="8"/>
  <c r="U559" i="8"/>
  <c r="L560" i="8"/>
  <c r="M560" i="8"/>
  <c r="M558" i="8" s="1"/>
  <c r="P558" i="8" s="1"/>
  <c r="N560" i="8"/>
  <c r="N558" i="8" s="1"/>
  <c r="T560" i="8"/>
  <c r="U560" i="8"/>
  <c r="Q561" i="8"/>
  <c r="R561" i="8"/>
  <c r="S561" i="8"/>
  <c r="T561" i="8"/>
  <c r="U561" i="8"/>
  <c r="O562" i="8"/>
  <c r="P562" i="8"/>
  <c r="T562" i="8"/>
  <c r="U562" i="8"/>
  <c r="L563" i="8"/>
  <c r="M563" i="8"/>
  <c r="N563" i="8"/>
  <c r="N561" i="8" s="1"/>
  <c r="T563" i="8"/>
  <c r="U563" i="8"/>
  <c r="K565" i="8"/>
  <c r="I575" i="8"/>
  <c r="K575" i="8" s="1"/>
  <c r="J575" i="8"/>
  <c r="L577" i="8"/>
  <c r="O577" i="8" s="1"/>
  <c r="M577" i="8"/>
  <c r="P577" i="8" s="1"/>
  <c r="N577" i="8"/>
  <c r="Q577" i="8"/>
  <c r="T577" i="8" s="1"/>
  <c r="R577" i="8"/>
  <c r="S577" i="8"/>
  <c r="S576" i="8" s="1"/>
  <c r="Q578" i="8"/>
  <c r="T578" i="8" s="1"/>
  <c r="R578" i="8"/>
  <c r="U578" i="8" s="1"/>
  <c r="S578" i="8"/>
  <c r="Q579" i="8"/>
  <c r="T579" i="8" s="1"/>
  <c r="R579" i="8"/>
  <c r="U579" i="8" s="1"/>
  <c r="S579" i="8"/>
  <c r="O580" i="8"/>
  <c r="P580" i="8"/>
  <c r="T580" i="8"/>
  <c r="U580" i="8"/>
  <c r="L581" i="8"/>
  <c r="M581" i="8"/>
  <c r="M579" i="8" s="1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L582" i="8" s="1"/>
  <c r="O582" i="8" s="1"/>
  <c r="M584" i="8"/>
  <c r="M582" i="8" s="1"/>
  <c r="P582" i="8" s="1"/>
  <c r="N584" i="8"/>
  <c r="N582" i="8" s="1"/>
  <c r="T584" i="8"/>
  <c r="U584" i="8"/>
  <c r="K586" i="8"/>
  <c r="K587" i="8"/>
  <c r="L600" i="8"/>
  <c r="M600" i="8"/>
  <c r="N600" i="8"/>
  <c r="O600" i="8"/>
  <c r="P600" i="8"/>
  <c r="Q600" i="8"/>
  <c r="R600" i="8"/>
  <c r="S600" i="8"/>
  <c r="T600" i="8"/>
  <c r="U600" i="8"/>
  <c r="O603" i="8"/>
  <c r="P603" i="8"/>
  <c r="T603" i="8"/>
  <c r="U603" i="8"/>
  <c r="L604" i="8"/>
  <c r="M604" i="8"/>
  <c r="N604" i="8"/>
  <c r="N602" i="8" s="1"/>
  <c r="Q604" i="8"/>
  <c r="R604" i="8"/>
  <c r="R602" i="8" s="1"/>
  <c r="U602" i="8" s="1"/>
  <c r="S604" i="8"/>
  <c r="O606" i="8"/>
  <c r="P606" i="8"/>
  <c r="T606" i="8"/>
  <c r="U606" i="8"/>
  <c r="L607" i="8"/>
  <c r="O607" i="8" s="1"/>
  <c r="M607" i="8"/>
  <c r="M605" i="8" s="1"/>
  <c r="P605" i="8" s="1"/>
  <c r="N607" i="8"/>
  <c r="N605" i="8" s="1"/>
  <c r="Q607" i="8"/>
  <c r="R607" i="8"/>
  <c r="U607" i="8" s="1"/>
  <c r="S607" i="8"/>
  <c r="S605" i="8" s="1"/>
  <c r="L617" i="8"/>
  <c r="M617" i="8"/>
  <c r="P617" i="8" s="1"/>
  <c r="N617" i="8"/>
  <c r="Q617" i="8"/>
  <c r="R617" i="8"/>
  <c r="S617" i="8"/>
  <c r="L618" i="8"/>
  <c r="M618" i="8"/>
  <c r="N618" i="8"/>
  <c r="N616" i="8" s="1"/>
  <c r="O618" i="8"/>
  <c r="L619" i="8"/>
  <c r="M619" i="8"/>
  <c r="N619" i="8"/>
  <c r="O619" i="8"/>
  <c r="P619" i="8"/>
  <c r="O620" i="8"/>
  <c r="P620" i="8"/>
  <c r="T620" i="8"/>
  <c r="U620" i="8"/>
  <c r="O621" i="8"/>
  <c r="P621" i="8"/>
  <c r="Q621" i="8"/>
  <c r="R621" i="8"/>
  <c r="R619" i="8" s="1"/>
  <c r="S621" i="8"/>
  <c r="S618" i="8" s="1"/>
  <c r="S616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29" i="8" s="1"/>
  <c r="I627" i="8"/>
  <c r="K627" i="8" s="1"/>
  <c r="I628" i="8"/>
  <c r="K628" i="8" s="1"/>
  <c r="J632" i="8"/>
  <c r="J626" i="8" s="1"/>
  <c r="J615" i="8" s="1"/>
  <c r="I635" i="8"/>
  <c r="K635" i="8" s="1"/>
  <c r="J635" i="8"/>
  <c r="J636" i="8"/>
  <c r="L643" i="8"/>
  <c r="O643" i="8" s="1"/>
  <c r="M643" i="8"/>
  <c r="N643" i="8"/>
  <c r="N642" i="8" s="1"/>
  <c r="P643" i="8"/>
  <c r="Q643" i="8"/>
  <c r="R643" i="8"/>
  <c r="U643" i="8" s="1"/>
  <c r="S643" i="8"/>
  <c r="L644" i="8"/>
  <c r="M644" i="8"/>
  <c r="N644" i="8"/>
  <c r="L645" i="8"/>
  <c r="M645" i="8"/>
  <c r="N645" i="8"/>
  <c r="O645" i="8"/>
  <c r="P645" i="8"/>
  <c r="O646" i="8"/>
  <c r="P646" i="8"/>
  <c r="T646" i="8"/>
  <c r="U646" i="8"/>
  <c r="O647" i="8"/>
  <c r="P647" i="8"/>
  <c r="Q647" i="8"/>
  <c r="Q645" i="8" s="1"/>
  <c r="R647" i="8"/>
  <c r="R644" i="8" s="1"/>
  <c r="S647" i="8"/>
  <c r="S645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N690" i="8"/>
  <c r="L691" i="8"/>
  <c r="O691" i="8" s="1"/>
  <c r="M691" i="8"/>
  <c r="N691" i="8"/>
  <c r="Q691" i="8"/>
  <c r="T691" i="8" s="1"/>
  <c r="R691" i="8"/>
  <c r="U691" i="8" s="1"/>
  <c r="S691" i="8"/>
  <c r="L692" i="8"/>
  <c r="L690" i="8" s="1"/>
  <c r="O690" i="8" s="1"/>
  <c r="M692" i="8"/>
  <c r="P692" i="8" s="1"/>
  <c r="N692" i="8"/>
  <c r="L693" i="8"/>
  <c r="M693" i="8"/>
  <c r="P693" i="8" s="1"/>
  <c r="N693" i="8"/>
  <c r="O693" i="8"/>
  <c r="O694" i="8"/>
  <c r="P694" i="8"/>
  <c r="T694" i="8"/>
  <c r="U694" i="8"/>
  <c r="O695" i="8"/>
  <c r="P695" i="8"/>
  <c r="Q695" i="8"/>
  <c r="Q692" i="8" s="1"/>
  <c r="R695" i="8"/>
  <c r="R693" i="8" s="1"/>
  <c r="S695" i="8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L714" i="8" s="1"/>
  <c r="O714" i="8" s="1"/>
  <c r="M715" i="8"/>
  <c r="P715" i="8" s="1"/>
  <c r="N715" i="8"/>
  <c r="Q715" i="8"/>
  <c r="T715" i="8" s="1"/>
  <c r="R715" i="8"/>
  <c r="R714" i="8" s="1"/>
  <c r="U714" i="8" s="1"/>
  <c r="S715" i="8"/>
  <c r="L716" i="8"/>
  <c r="O716" i="8" s="1"/>
  <c r="M716" i="8"/>
  <c r="N716" i="8"/>
  <c r="Q716" i="8"/>
  <c r="T716" i="8" s="1"/>
  <c r="R716" i="8"/>
  <c r="U716" i="8" s="1"/>
  <c r="S716" i="8"/>
  <c r="L717" i="8"/>
  <c r="M717" i="8"/>
  <c r="P717" i="8" s="1"/>
  <c r="N717" i="8"/>
  <c r="O717" i="8"/>
  <c r="Q717" i="8"/>
  <c r="R717" i="8"/>
  <c r="S717" i="8"/>
  <c r="T717" i="8"/>
  <c r="U717" i="8"/>
  <c r="O718" i="8"/>
  <c r="P718" i="8"/>
  <c r="T718" i="8"/>
  <c r="U718" i="8"/>
  <c r="O719" i="8"/>
  <c r="P719" i="8"/>
  <c r="T719" i="8"/>
  <c r="U719" i="8"/>
  <c r="L720" i="8"/>
  <c r="M720" i="8"/>
  <c r="P720" i="8" s="1"/>
  <c r="N720" i="8"/>
  <c r="O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J727" i="8"/>
  <c r="L729" i="8"/>
  <c r="O729" i="8" s="1"/>
  <c r="M729" i="8"/>
  <c r="N729" i="8"/>
  <c r="Q729" i="8"/>
  <c r="R729" i="8"/>
  <c r="S729" i="8"/>
  <c r="L730" i="8"/>
  <c r="O730" i="8" s="1"/>
  <c r="M730" i="8"/>
  <c r="N730" i="8"/>
  <c r="P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R733" i="8"/>
  <c r="S733" i="8"/>
  <c r="S731" i="8" s="1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N761" i="8"/>
  <c r="O761" i="8"/>
  <c r="P761" i="8"/>
  <c r="Q761" i="8"/>
  <c r="T761" i="8" s="1"/>
  <c r="R761" i="8"/>
  <c r="U761" i="8" s="1"/>
  <c r="S761" i="8"/>
  <c r="L762" i="8"/>
  <c r="O762" i="8" s="1"/>
  <c r="M762" i="8"/>
  <c r="P762" i="8" s="1"/>
  <c r="N762" i="8"/>
  <c r="N760" i="8" s="1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Q763" i="8" s="1"/>
  <c r="R765" i="8"/>
  <c r="R763" i="8" s="1"/>
  <c r="S765" i="8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N19" i="7" s="1"/>
  <c r="P22" i="7"/>
  <c r="Q22" i="7"/>
  <c r="Q19" i="7" s="1"/>
  <c r="R22" i="7"/>
  <c r="R19" i="7" s="1"/>
  <c r="S22" i="7"/>
  <c r="T22" i="7"/>
  <c r="L25" i="7"/>
  <c r="L19" i="7" s="1"/>
  <c r="M25" i="7"/>
  <c r="P25" i="7" s="1"/>
  <c r="N25" i="7"/>
  <c r="Q25" i="7"/>
  <c r="T25" i="7" s="1"/>
  <c r="R25" i="7"/>
  <c r="S25" i="7"/>
  <c r="R44" i="7"/>
  <c r="U44" i="7" s="1"/>
  <c r="L45" i="7"/>
  <c r="O45" i="7" s="1"/>
  <c r="M45" i="7"/>
  <c r="N45" i="7"/>
  <c r="Q45" i="7"/>
  <c r="Q44" i="7" s="1"/>
  <c r="T44" i="7" s="1"/>
  <c r="R45" i="7"/>
  <c r="U45" i="7" s="1"/>
  <c r="S45" i="7"/>
  <c r="S44" i="7" s="1"/>
  <c r="Q46" i="7"/>
  <c r="R46" i="7"/>
  <c r="S46" i="7"/>
  <c r="T46" i="7"/>
  <c r="U46" i="7"/>
  <c r="Q47" i="7"/>
  <c r="T47" i="7" s="1"/>
  <c r="R47" i="7"/>
  <c r="S47" i="7"/>
  <c r="U47" i="7"/>
  <c r="O48" i="7"/>
  <c r="P48" i="7"/>
  <c r="T48" i="7"/>
  <c r="U48" i="7"/>
  <c r="L49" i="7"/>
  <c r="M49" i="7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L50" i="7" s="1"/>
  <c r="O50" i="7" s="1"/>
  <c r="M52" i="7"/>
  <c r="P52" i="7" s="1"/>
  <c r="N52" i="7"/>
  <c r="N50" i="7" s="1"/>
  <c r="T52" i="7"/>
  <c r="U52" i="7"/>
  <c r="L60" i="7"/>
  <c r="O60" i="7" s="1"/>
  <c r="M60" i="7"/>
  <c r="N60" i="7"/>
  <c r="Q60" i="7"/>
  <c r="R60" i="7"/>
  <c r="U60" i="7" s="1"/>
  <c r="S60" i="7"/>
  <c r="Q61" i="7"/>
  <c r="T61" i="7" s="1"/>
  <c r="R61" i="7"/>
  <c r="S61" i="7"/>
  <c r="Q62" i="7"/>
  <c r="T62" i="7" s="1"/>
  <c r="R62" i="7"/>
  <c r="U62" i="7" s="1"/>
  <c r="S62" i="7"/>
  <c r="O63" i="7"/>
  <c r="P63" i="7"/>
  <c r="T63" i="7"/>
  <c r="U63" i="7"/>
  <c r="L64" i="7"/>
  <c r="M64" i="7"/>
  <c r="M62" i="7" s="1"/>
  <c r="N64" i="7"/>
  <c r="N62" i="7" s="1"/>
  <c r="T64" i="7"/>
  <c r="U64" i="7"/>
  <c r="Q65" i="7"/>
  <c r="R65" i="7"/>
  <c r="U65" i="7" s="1"/>
  <c r="S65" i="7"/>
  <c r="T65" i="7"/>
  <c r="O66" i="7"/>
  <c r="P66" i="7"/>
  <c r="T66" i="7"/>
  <c r="U66" i="7"/>
  <c r="L67" i="7"/>
  <c r="M67" i="7"/>
  <c r="M65" i="7" s="1"/>
  <c r="N67" i="7"/>
  <c r="N65" i="7" s="1"/>
  <c r="T67" i="7"/>
  <c r="U67" i="7"/>
  <c r="L73" i="7"/>
  <c r="O73" i="7" s="1"/>
  <c r="M73" i="7"/>
  <c r="N73" i="7"/>
  <c r="Q73" i="7"/>
  <c r="R73" i="7"/>
  <c r="U73" i="7" s="1"/>
  <c r="S73" i="7"/>
  <c r="O76" i="7"/>
  <c r="P76" i="7"/>
  <c r="T76" i="7"/>
  <c r="U76" i="7"/>
  <c r="L77" i="7"/>
  <c r="M77" i="7"/>
  <c r="M75" i="7" s="1"/>
  <c r="N77" i="7"/>
  <c r="N75" i="7" s="1"/>
  <c r="Q77" i="7"/>
  <c r="Q75" i="7" s="1"/>
  <c r="R77" i="7"/>
  <c r="R75" i="7" s="1"/>
  <c r="S77" i="7"/>
  <c r="O79" i="7"/>
  <c r="P79" i="7"/>
  <c r="T79" i="7"/>
  <c r="U79" i="7"/>
  <c r="L80" i="7"/>
  <c r="M80" i="7"/>
  <c r="M78" i="7" s="1"/>
  <c r="P78" i="7" s="1"/>
  <c r="N80" i="7"/>
  <c r="N78" i="7" s="1"/>
  <c r="Q80" i="7"/>
  <c r="T80" i="7" s="1"/>
  <c r="R80" i="7"/>
  <c r="R78" i="7" s="1"/>
  <c r="U78" i="7" s="1"/>
  <c r="S80" i="7"/>
  <c r="J82" i="7"/>
  <c r="J70" i="7" s="1"/>
  <c r="J83" i="7"/>
  <c r="J71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O95" i="7"/>
  <c r="P95" i="7"/>
  <c r="Q95" i="7"/>
  <c r="R95" i="7"/>
  <c r="S95" i="7"/>
  <c r="U95" i="7"/>
  <c r="O98" i="7"/>
  <c r="P98" i="7"/>
  <c r="T98" i="7"/>
  <c r="U98" i="7"/>
  <c r="L99" i="7"/>
  <c r="M99" i="7"/>
  <c r="M97" i="7" s="1"/>
  <c r="N99" i="7"/>
  <c r="Q99" i="7"/>
  <c r="R99" i="7"/>
  <c r="S99" i="7"/>
  <c r="S97" i="7" s="1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N102" i="7"/>
  <c r="T102" i="7"/>
  <c r="U102" i="7"/>
  <c r="I108" i="7"/>
  <c r="I92" i="7" s="1"/>
  <c r="I109" i="7"/>
  <c r="I113" i="7"/>
  <c r="K113" i="7" s="1"/>
  <c r="I114" i="7"/>
  <c r="K114" i="7" s="1"/>
  <c r="J116" i="7"/>
  <c r="L118" i="7"/>
  <c r="O118" i="7" s="1"/>
  <c r="M118" i="7"/>
  <c r="N118" i="7"/>
  <c r="Q118" i="7"/>
  <c r="T118" i="7" s="1"/>
  <c r="R118" i="7"/>
  <c r="U118" i="7" s="1"/>
  <c r="S118" i="7"/>
  <c r="O121" i="7"/>
  <c r="P121" i="7"/>
  <c r="T121" i="7"/>
  <c r="U121" i="7"/>
  <c r="L122" i="7"/>
  <c r="L120" i="7" s="1"/>
  <c r="O120" i="7" s="1"/>
  <c r="M122" i="7"/>
  <c r="P122" i="7" s="1"/>
  <c r="N122" i="7"/>
  <c r="Q122" i="7"/>
  <c r="R122" i="7"/>
  <c r="R120" i="7" s="1"/>
  <c r="S122" i="7"/>
  <c r="O124" i="7"/>
  <c r="P124" i="7"/>
  <c r="T124" i="7"/>
  <c r="U124" i="7"/>
  <c r="L125" i="7"/>
  <c r="L123" i="7" s="1"/>
  <c r="O123" i="7" s="1"/>
  <c r="M125" i="7"/>
  <c r="N125" i="7"/>
  <c r="N123" i="7" s="1"/>
  <c r="Q125" i="7"/>
  <c r="R125" i="7"/>
  <c r="R123" i="7" s="1"/>
  <c r="S125" i="7"/>
  <c r="S123" i="7" s="1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P140" i="7"/>
  <c r="Q140" i="7"/>
  <c r="R140" i="7"/>
  <c r="S140" i="7"/>
  <c r="T140" i="7"/>
  <c r="U140" i="7"/>
  <c r="O143" i="7"/>
  <c r="P143" i="7"/>
  <c r="T143" i="7"/>
  <c r="U143" i="7"/>
  <c r="L144" i="7"/>
  <c r="M144" i="7"/>
  <c r="N144" i="7"/>
  <c r="Q144" i="7"/>
  <c r="R144" i="7"/>
  <c r="S144" i="7"/>
  <c r="S142" i="7" s="1"/>
  <c r="O146" i="7"/>
  <c r="P146" i="7"/>
  <c r="T146" i="7"/>
  <c r="U146" i="7"/>
  <c r="L147" i="7"/>
  <c r="O147" i="7" s="1"/>
  <c r="M147" i="7"/>
  <c r="N147" i="7"/>
  <c r="N145" i="7" s="1"/>
  <c r="Q147" i="7"/>
  <c r="R147" i="7"/>
  <c r="S147" i="7"/>
  <c r="S145" i="7" s="1"/>
  <c r="I150" i="7"/>
  <c r="K150" i="7" s="1"/>
  <c r="I151" i="7"/>
  <c r="K151" i="7" s="1"/>
  <c r="I152" i="7"/>
  <c r="K152" i="7" s="1"/>
  <c r="I153" i="7"/>
  <c r="K153" i="7" s="1"/>
  <c r="I154" i="7"/>
  <c r="K154" i="7" s="1"/>
  <c r="J156" i="7"/>
  <c r="L158" i="7"/>
  <c r="O158" i="7" s="1"/>
  <c r="M158" i="7"/>
  <c r="N158" i="7"/>
  <c r="Q158" i="7"/>
  <c r="R158" i="7"/>
  <c r="U158" i="7" s="1"/>
  <c r="S158" i="7"/>
  <c r="T158" i="7"/>
  <c r="O161" i="7"/>
  <c r="P161" i="7"/>
  <c r="T161" i="7"/>
  <c r="U161" i="7"/>
  <c r="L162" i="7"/>
  <c r="M162" i="7"/>
  <c r="N162" i="7"/>
  <c r="Q162" i="7"/>
  <c r="Q160" i="7" s="1"/>
  <c r="T160" i="7" s="1"/>
  <c r="R162" i="7"/>
  <c r="S162" i="7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P165" i="7" s="1"/>
  <c r="N165" i="7"/>
  <c r="N163" i="7" s="1"/>
  <c r="T165" i="7"/>
  <c r="U165" i="7"/>
  <c r="I167" i="7"/>
  <c r="K167" i="7" s="1"/>
  <c r="I168" i="7"/>
  <c r="K168" i="7" s="1"/>
  <c r="I169" i="7"/>
  <c r="I156" i="7" s="1"/>
  <c r="K156" i="7" s="1"/>
  <c r="J172" i="7"/>
  <c r="L174" i="7"/>
  <c r="O174" i="7" s="1"/>
  <c r="M174" i="7"/>
  <c r="N174" i="7"/>
  <c r="Q174" i="7"/>
  <c r="T174" i="7" s="1"/>
  <c r="R174" i="7"/>
  <c r="U174" i="7" s="1"/>
  <c r="S174" i="7"/>
  <c r="O177" i="7"/>
  <c r="P177" i="7"/>
  <c r="T177" i="7"/>
  <c r="U177" i="7"/>
  <c r="L178" i="7"/>
  <c r="M178" i="7"/>
  <c r="N178" i="7"/>
  <c r="N176" i="7" s="1"/>
  <c r="Q178" i="7"/>
  <c r="Q175" i="7" s="1"/>
  <c r="R178" i="7"/>
  <c r="R175" i="7" s="1"/>
  <c r="S178" i="7"/>
  <c r="S175" i="7" s="1"/>
  <c r="Q179" i="7"/>
  <c r="R179" i="7"/>
  <c r="U179" i="7" s="1"/>
  <c r="S179" i="7"/>
  <c r="T179" i="7"/>
  <c r="O180" i="7"/>
  <c r="P180" i="7"/>
  <c r="T180" i="7"/>
  <c r="U180" i="7"/>
  <c r="L181" i="7"/>
  <c r="M181" i="7"/>
  <c r="N181" i="7"/>
  <c r="N179" i="7" s="1"/>
  <c r="T181" i="7"/>
  <c r="U181" i="7"/>
  <c r="I183" i="7"/>
  <c r="I172" i="7" s="1"/>
  <c r="K172" i="7" s="1"/>
  <c r="K184" i="7"/>
  <c r="L187" i="7"/>
  <c r="M187" i="7"/>
  <c r="N187" i="7"/>
  <c r="O187" i="7"/>
  <c r="Q187" i="7"/>
  <c r="T187" i="7" s="1"/>
  <c r="R187" i="7"/>
  <c r="U187" i="7" s="1"/>
  <c r="S187" i="7"/>
  <c r="O190" i="7"/>
  <c r="P190" i="7"/>
  <c r="T190" i="7"/>
  <c r="U190" i="7"/>
  <c r="L191" i="7"/>
  <c r="M191" i="7"/>
  <c r="M189" i="7" s="1"/>
  <c r="N191" i="7"/>
  <c r="Q191" i="7"/>
  <c r="R191" i="7"/>
  <c r="S191" i="7"/>
  <c r="O193" i="7"/>
  <c r="P193" i="7"/>
  <c r="T193" i="7"/>
  <c r="U193" i="7"/>
  <c r="L194" i="7"/>
  <c r="M194" i="7"/>
  <c r="M192" i="7" s="1"/>
  <c r="P192" i="7" s="1"/>
  <c r="N194" i="7"/>
  <c r="N192" i="7" s="1"/>
  <c r="Q194" i="7"/>
  <c r="T194" i="7" s="1"/>
  <c r="R194" i="7"/>
  <c r="R192" i="7" s="1"/>
  <c r="U192" i="7" s="1"/>
  <c r="S194" i="7"/>
  <c r="S192" i="7" s="1"/>
  <c r="J195" i="7"/>
  <c r="L196" i="7"/>
  <c r="O196" i="7" s="1"/>
  <c r="P196" i="7"/>
  <c r="I198" i="7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02" i="7" s="1"/>
  <c r="K202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N233" i="7"/>
  <c r="Q233" i="7"/>
  <c r="S233" i="7"/>
  <c r="N234" i="7"/>
  <c r="Q234" i="7"/>
  <c r="S234" i="7"/>
  <c r="N235" i="7"/>
  <c r="S235" i="7"/>
  <c r="N236" i="7"/>
  <c r="Q236" i="7"/>
  <c r="S236" i="7"/>
  <c r="J238" i="7"/>
  <c r="J240" i="7"/>
  <c r="J241" i="7"/>
  <c r="J242" i="7"/>
  <c r="J231" i="7" s="1"/>
  <c r="J185" i="7" s="1"/>
  <c r="N243" i="7"/>
  <c r="P243" i="7"/>
  <c r="L244" i="7"/>
  <c r="L245" i="7"/>
  <c r="L246" i="7"/>
  <c r="L247" i="7"/>
  <c r="I249" i="7"/>
  <c r="K249" i="7" s="1"/>
  <c r="I251" i="7"/>
  <c r="K251" i="7" s="1"/>
  <c r="I252" i="7"/>
  <c r="K252" i="7" s="1"/>
  <c r="J253" i="7"/>
  <c r="N254" i="7"/>
  <c r="P254" i="7"/>
  <c r="S254" i="7"/>
  <c r="S232" i="7" s="1"/>
  <c r="U254" i="7"/>
  <c r="L255" i="7"/>
  <c r="L256" i="7"/>
  <c r="L234" i="7" s="1"/>
  <c r="L257" i="7"/>
  <c r="Q257" i="7"/>
  <c r="Q254" i="7" s="1"/>
  <c r="L258" i="7"/>
  <c r="I260" i="7"/>
  <c r="I262" i="7"/>
  <c r="K262" i="7" s="1"/>
  <c r="I263" i="7"/>
  <c r="K263" i="7" s="1"/>
  <c r="J265" i="7"/>
  <c r="L267" i="7"/>
  <c r="M267" i="7"/>
  <c r="N267" i="7"/>
  <c r="Q267" i="7"/>
  <c r="R267" i="7"/>
  <c r="U267" i="7" s="1"/>
  <c r="S267" i="7"/>
  <c r="T267" i="7"/>
  <c r="O270" i="7"/>
  <c r="P270" i="7"/>
  <c r="T270" i="7"/>
  <c r="U270" i="7"/>
  <c r="L271" i="7"/>
  <c r="M271" i="7"/>
  <c r="M269" i="7" s="1"/>
  <c r="N271" i="7"/>
  <c r="N269" i="7" s="1"/>
  <c r="Q271" i="7"/>
  <c r="R271" i="7"/>
  <c r="R268" i="7" s="1"/>
  <c r="S271" i="7"/>
  <c r="S268" i="7" s="1"/>
  <c r="Q272" i="7"/>
  <c r="T272" i="7" s="1"/>
  <c r="R272" i="7"/>
  <c r="U272" i="7" s="1"/>
  <c r="S272" i="7"/>
  <c r="O273" i="7"/>
  <c r="P273" i="7"/>
  <c r="T273" i="7"/>
  <c r="U273" i="7"/>
  <c r="L274" i="7"/>
  <c r="L272" i="7" s="1"/>
  <c r="O272" i="7" s="1"/>
  <c r="M274" i="7"/>
  <c r="P274" i="7" s="1"/>
  <c r="N274" i="7"/>
  <c r="N272" i="7" s="1"/>
  <c r="T274" i="7"/>
  <c r="U274" i="7"/>
  <c r="I276" i="7"/>
  <c r="J281" i="7"/>
  <c r="Q282" i="7"/>
  <c r="T282" i="7" s="1"/>
  <c r="S282" i="7"/>
  <c r="L283" i="7"/>
  <c r="M283" i="7"/>
  <c r="N283" i="7"/>
  <c r="O283" i="7"/>
  <c r="P283" i="7"/>
  <c r="Q283" i="7"/>
  <c r="R283" i="7"/>
  <c r="R282" i="7" s="1"/>
  <c r="U282" i="7" s="1"/>
  <c r="S283" i="7"/>
  <c r="T283" i="7"/>
  <c r="U283" i="7"/>
  <c r="Q284" i="7"/>
  <c r="T284" i="7" s="1"/>
  <c r="R284" i="7"/>
  <c r="U284" i="7" s="1"/>
  <c r="S284" i="7"/>
  <c r="Q285" i="7"/>
  <c r="T285" i="7" s="1"/>
  <c r="R285" i="7"/>
  <c r="U285" i="7" s="1"/>
  <c r="S285" i="7"/>
  <c r="O286" i="7"/>
  <c r="P286" i="7"/>
  <c r="T286" i="7"/>
  <c r="U286" i="7"/>
  <c r="L287" i="7"/>
  <c r="L285" i="7" s="1"/>
  <c r="M287" i="7"/>
  <c r="M285" i="7" s="1"/>
  <c r="N287" i="7"/>
  <c r="T287" i="7"/>
  <c r="U287" i="7"/>
  <c r="Q288" i="7"/>
  <c r="R288" i="7"/>
  <c r="S288" i="7"/>
  <c r="T288" i="7"/>
  <c r="U288" i="7"/>
  <c r="O289" i="7"/>
  <c r="P289" i="7"/>
  <c r="T289" i="7"/>
  <c r="U289" i="7"/>
  <c r="L290" i="7"/>
  <c r="M290" i="7"/>
  <c r="P290" i="7" s="1"/>
  <c r="N290" i="7"/>
  <c r="N288" i="7" s="1"/>
  <c r="T290" i="7"/>
  <c r="U290" i="7"/>
  <c r="I292" i="7"/>
  <c r="I281" i="7" s="1"/>
  <c r="K281" i="7" s="1"/>
  <c r="I293" i="7"/>
  <c r="I280" i="7" s="1"/>
  <c r="K280" i="7" s="1"/>
  <c r="J293" i="7"/>
  <c r="J280" i="7" s="1"/>
  <c r="I295" i="7"/>
  <c r="K295" i="7" s="1"/>
  <c r="I296" i="7"/>
  <c r="K296" i="7" s="1"/>
  <c r="I298" i="7"/>
  <c r="K298" i="7" s="1"/>
  <c r="I299" i="7"/>
  <c r="K299" i="7" s="1"/>
  <c r="J302" i="7"/>
  <c r="L304" i="7"/>
  <c r="M304" i="7"/>
  <c r="P304" i="7" s="1"/>
  <c r="N304" i="7"/>
  <c r="Q304" i="7"/>
  <c r="R304" i="7"/>
  <c r="S304" i="7"/>
  <c r="O307" i="7"/>
  <c r="P307" i="7"/>
  <c r="T307" i="7"/>
  <c r="U307" i="7"/>
  <c r="L308" i="7"/>
  <c r="M308" i="7"/>
  <c r="M306" i="7" s="1"/>
  <c r="P306" i="7" s="1"/>
  <c r="N308" i="7"/>
  <c r="N306" i="7" s="1"/>
  <c r="Q308" i="7"/>
  <c r="Q305" i="7" s="1"/>
  <c r="R308" i="7"/>
  <c r="R306" i="7" s="1"/>
  <c r="S308" i="7"/>
  <c r="Q309" i="7"/>
  <c r="T309" i="7" s="1"/>
  <c r="R309" i="7"/>
  <c r="U309" i="7" s="1"/>
  <c r="S309" i="7"/>
  <c r="O310" i="7"/>
  <c r="P310" i="7"/>
  <c r="T310" i="7"/>
  <c r="U310" i="7"/>
  <c r="L311" i="7"/>
  <c r="L309" i="7" s="1"/>
  <c r="O309" i="7" s="1"/>
  <c r="M311" i="7"/>
  <c r="N311" i="7"/>
  <c r="N309" i="7" s="1"/>
  <c r="T311" i="7"/>
  <c r="U311" i="7"/>
  <c r="I314" i="7"/>
  <c r="I302" i="7" s="1"/>
  <c r="K302" i="7" s="1"/>
  <c r="J319" i="7"/>
  <c r="L321" i="7"/>
  <c r="M321" i="7"/>
  <c r="N321" i="7"/>
  <c r="P321" i="7"/>
  <c r="Q321" i="7"/>
  <c r="R321" i="7"/>
  <c r="S321" i="7"/>
  <c r="Q322" i="7"/>
  <c r="T322" i="7" s="1"/>
  <c r="R322" i="7"/>
  <c r="U322" i="7" s="1"/>
  <c r="S322" i="7"/>
  <c r="Q323" i="7"/>
  <c r="T323" i="7" s="1"/>
  <c r="R323" i="7"/>
  <c r="S323" i="7"/>
  <c r="U323" i="7"/>
  <c r="O324" i="7"/>
  <c r="P324" i="7"/>
  <c r="T324" i="7"/>
  <c r="U324" i="7"/>
  <c r="L325" i="7"/>
  <c r="M325" i="7"/>
  <c r="N325" i="7"/>
  <c r="N323" i="7" s="1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M328" i="7"/>
  <c r="N328" i="7"/>
  <c r="N326" i="7" s="1"/>
  <c r="T328" i="7"/>
  <c r="U328" i="7"/>
  <c r="I330" i="7"/>
  <c r="K330" i="7" s="1"/>
  <c r="I332" i="7"/>
  <c r="L334" i="7"/>
  <c r="M334" i="7"/>
  <c r="N334" i="7"/>
  <c r="Q334" i="7"/>
  <c r="T334" i="7" s="1"/>
  <c r="R334" i="7"/>
  <c r="S334" i="7"/>
  <c r="Q335" i="7"/>
  <c r="R335" i="7"/>
  <c r="U335" i="7" s="1"/>
  <c r="S335" i="7"/>
  <c r="T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N338" i="7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O341" i="7" s="1"/>
  <c r="M341" i="7"/>
  <c r="M339" i="7" s="1"/>
  <c r="P339" i="7" s="1"/>
  <c r="N341" i="7"/>
  <c r="N339" i="7" s="1"/>
  <c r="T341" i="7"/>
  <c r="U341" i="7"/>
  <c r="J344" i="7"/>
  <c r="K344" i="7"/>
  <c r="I346" i="7"/>
  <c r="J346" i="7"/>
  <c r="J347" i="7"/>
  <c r="J348" i="7"/>
  <c r="J349" i="7"/>
  <c r="D350" i="7"/>
  <c r="J352" i="7"/>
  <c r="J353" i="7"/>
  <c r="J354" i="7"/>
  <c r="L357" i="7"/>
  <c r="M357" i="7"/>
  <c r="N357" i="7"/>
  <c r="O357" i="7"/>
  <c r="P357" i="7"/>
  <c r="Q357" i="7"/>
  <c r="R357" i="7"/>
  <c r="U357" i="7" s="1"/>
  <c r="S357" i="7"/>
  <c r="Q358" i="7"/>
  <c r="T358" i="7" s="1"/>
  <c r="R358" i="7"/>
  <c r="U358" i="7" s="1"/>
  <c r="S358" i="7"/>
  <c r="Q359" i="7"/>
  <c r="R359" i="7"/>
  <c r="S359" i="7"/>
  <c r="T359" i="7"/>
  <c r="U359" i="7"/>
  <c r="O360" i="7"/>
  <c r="P360" i="7"/>
  <c r="T360" i="7"/>
  <c r="U360" i="7"/>
  <c r="L361" i="7"/>
  <c r="M361" i="7"/>
  <c r="N361" i="7"/>
  <c r="N359" i="7" s="1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L362" i="7" s="1"/>
  <c r="O362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O376" i="7" s="1"/>
  <c r="M376" i="7"/>
  <c r="N376" i="7"/>
  <c r="Q376" i="7"/>
  <c r="T376" i="7" s="1"/>
  <c r="R376" i="7"/>
  <c r="U376" i="7" s="1"/>
  <c r="S376" i="7"/>
  <c r="O379" i="7"/>
  <c r="P379" i="7"/>
  <c r="T379" i="7"/>
  <c r="U379" i="7"/>
  <c r="L380" i="7"/>
  <c r="M380" i="7"/>
  <c r="M378" i="7" s="1"/>
  <c r="P378" i="7" s="1"/>
  <c r="N380" i="7"/>
  <c r="N378" i="7" s="1"/>
  <c r="Q380" i="7"/>
  <c r="Q377" i="7" s="1"/>
  <c r="R380" i="7"/>
  <c r="R377" i="7" s="1"/>
  <c r="R375" i="7" s="1"/>
  <c r="S380" i="7"/>
  <c r="S378" i="7" s="1"/>
  <c r="Q381" i="7"/>
  <c r="T381" i="7" s="1"/>
  <c r="R381" i="7"/>
  <c r="S381" i="7"/>
  <c r="U381" i="7"/>
  <c r="O382" i="7"/>
  <c r="P382" i="7"/>
  <c r="T382" i="7"/>
  <c r="U382" i="7"/>
  <c r="L383" i="7"/>
  <c r="L381" i="7" s="1"/>
  <c r="O381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J391" i="7"/>
  <c r="K391" i="7"/>
  <c r="L393" i="7"/>
  <c r="L392" i="7" s="1"/>
  <c r="O392" i="7" s="1"/>
  <c r="M393" i="7"/>
  <c r="N393" i="7"/>
  <c r="N392" i="7" s="1"/>
  <c r="P393" i="7"/>
  <c r="Q393" i="7"/>
  <c r="T393" i="7" s="1"/>
  <c r="R393" i="7"/>
  <c r="U393" i="7" s="1"/>
  <c r="S393" i="7"/>
  <c r="L394" i="7"/>
  <c r="O394" i="7" s="1"/>
  <c r="M394" i="7"/>
  <c r="P394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T397" i="7" s="1"/>
  <c r="R397" i="7"/>
  <c r="R394" i="7" s="1"/>
  <c r="S397" i="7"/>
  <c r="S394" i="7" s="1"/>
  <c r="S392" i="7" s="1"/>
  <c r="L398" i="7"/>
  <c r="O398" i="7" s="1"/>
  <c r="M398" i="7"/>
  <c r="N398" i="7"/>
  <c r="P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N414" i="7"/>
  <c r="O414" i="7"/>
  <c r="Q414" i="7"/>
  <c r="R414" i="7"/>
  <c r="S414" i="7"/>
  <c r="T414" i="7"/>
  <c r="U414" i="7"/>
  <c r="O417" i="7"/>
  <c r="P417" i="7"/>
  <c r="T417" i="7"/>
  <c r="U417" i="7"/>
  <c r="L418" i="7"/>
  <c r="M418" i="7"/>
  <c r="M416" i="7" s="1"/>
  <c r="N418" i="7"/>
  <c r="Q418" i="7"/>
  <c r="R418" i="7"/>
  <c r="S418" i="7"/>
  <c r="S415" i="7" s="1"/>
  <c r="Q419" i="7"/>
  <c r="T419" i="7" s="1"/>
  <c r="R419" i="7"/>
  <c r="U419" i="7" s="1"/>
  <c r="S419" i="7"/>
  <c r="O420" i="7"/>
  <c r="P420" i="7"/>
  <c r="T420" i="7"/>
  <c r="U420" i="7"/>
  <c r="L421" i="7"/>
  <c r="L419" i="7" s="1"/>
  <c r="O419" i="7" s="1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I456" i="7" s="1"/>
  <c r="I458" i="7"/>
  <c r="J459" i="7"/>
  <c r="J457" i="7" s="1"/>
  <c r="J456" i="7" s="1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J484" i="7"/>
  <c r="K484" i="7"/>
  <c r="I485" i="7"/>
  <c r="K485" i="7" s="1"/>
  <c r="J485" i="7"/>
  <c r="L494" i="7"/>
  <c r="M494" i="7"/>
  <c r="N494" i="7"/>
  <c r="Q494" i="7"/>
  <c r="T494" i="7" s="1"/>
  <c r="R494" i="7"/>
  <c r="S494" i="7"/>
  <c r="O497" i="7"/>
  <c r="P497" i="7"/>
  <c r="T497" i="7"/>
  <c r="U497" i="7"/>
  <c r="L498" i="7"/>
  <c r="O498" i="7" s="1"/>
  <c r="M498" i="7"/>
  <c r="M496" i="7" s="1"/>
  <c r="P496" i="7" s="1"/>
  <c r="N498" i="7"/>
  <c r="N496" i="7" s="1"/>
  <c r="Q498" i="7"/>
  <c r="R498" i="7"/>
  <c r="R495" i="7" s="1"/>
  <c r="U495" i="7" s="1"/>
  <c r="S498" i="7"/>
  <c r="S495" i="7" s="1"/>
  <c r="Q499" i="7"/>
  <c r="T499" i="7" s="1"/>
  <c r="R499" i="7"/>
  <c r="U499" i="7" s="1"/>
  <c r="S499" i="7"/>
  <c r="O500" i="7"/>
  <c r="P500" i="7"/>
  <c r="T500" i="7"/>
  <c r="U500" i="7"/>
  <c r="L501" i="7"/>
  <c r="L499" i="7" s="1"/>
  <c r="O499" i="7" s="1"/>
  <c r="M501" i="7"/>
  <c r="N501" i="7"/>
  <c r="N499" i="7" s="1"/>
  <c r="T501" i="7"/>
  <c r="U501" i="7"/>
  <c r="I503" i="7"/>
  <c r="I504" i="7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O514" i="7" s="1"/>
  <c r="M514" i="7"/>
  <c r="N514" i="7"/>
  <c r="P514" i="7"/>
  <c r="Q514" i="7"/>
  <c r="R514" i="7"/>
  <c r="S514" i="7"/>
  <c r="U514" i="7"/>
  <c r="Q515" i="7"/>
  <c r="T515" i="7" s="1"/>
  <c r="R515" i="7"/>
  <c r="U515" i="7" s="1"/>
  <c r="S515" i="7"/>
  <c r="S513" i="7" s="1"/>
  <c r="Q516" i="7"/>
  <c r="R516" i="7"/>
  <c r="S516" i="7"/>
  <c r="T516" i="7"/>
  <c r="U516" i="7"/>
  <c r="O517" i="7"/>
  <c r="P517" i="7"/>
  <c r="T517" i="7"/>
  <c r="U517" i="7"/>
  <c r="L518" i="7"/>
  <c r="M518" i="7"/>
  <c r="P518" i="7" s="1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O521" i="7" s="1"/>
  <c r="M521" i="7"/>
  <c r="P521" i="7" s="1"/>
  <c r="N521" i="7"/>
  <c r="N519" i="7" s="1"/>
  <c r="T521" i="7"/>
  <c r="U521" i="7"/>
  <c r="K523" i="7"/>
  <c r="K524" i="7"/>
  <c r="I533" i="7"/>
  <c r="J533" i="7"/>
  <c r="L535" i="7"/>
  <c r="M535" i="7"/>
  <c r="N535" i="7"/>
  <c r="P535" i="7"/>
  <c r="Q535" i="7"/>
  <c r="R535" i="7"/>
  <c r="S535" i="7"/>
  <c r="Q536" i="7"/>
  <c r="R536" i="7"/>
  <c r="U536" i="7" s="1"/>
  <c r="S536" i="7"/>
  <c r="T536" i="7"/>
  <c r="Q537" i="7"/>
  <c r="R537" i="7"/>
  <c r="S537" i="7"/>
  <c r="T537" i="7"/>
  <c r="U537" i="7"/>
  <c r="O538" i="7"/>
  <c r="P538" i="7"/>
  <c r="T538" i="7"/>
  <c r="U538" i="7"/>
  <c r="L539" i="7"/>
  <c r="M539" i="7"/>
  <c r="N539" i="7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M542" i="7"/>
  <c r="M540" i="7" s="1"/>
  <c r="N542" i="7"/>
  <c r="N540" i="7" s="1"/>
  <c r="T542" i="7"/>
  <c r="U542" i="7"/>
  <c r="K544" i="7"/>
  <c r="I554" i="7"/>
  <c r="K554" i="7" s="1"/>
  <c r="J554" i="7"/>
  <c r="Q555" i="7"/>
  <c r="T555" i="7" s="1"/>
  <c r="L556" i="7"/>
  <c r="O556" i="7" s="1"/>
  <c r="M556" i="7"/>
  <c r="N556" i="7"/>
  <c r="Q556" i="7"/>
  <c r="R556" i="7"/>
  <c r="S556" i="7"/>
  <c r="T556" i="7"/>
  <c r="Q557" i="7"/>
  <c r="T557" i="7" s="1"/>
  <c r="R557" i="7"/>
  <c r="U557" i="7" s="1"/>
  <c r="S557" i="7"/>
  <c r="Q558" i="7"/>
  <c r="T558" i="7" s="1"/>
  <c r="R558" i="7"/>
  <c r="U558" i="7" s="1"/>
  <c r="S558" i="7"/>
  <c r="O559" i="7"/>
  <c r="P559" i="7"/>
  <c r="T559" i="7"/>
  <c r="U559" i="7"/>
  <c r="L560" i="7"/>
  <c r="M560" i="7"/>
  <c r="M558" i="7" s="1"/>
  <c r="N560" i="7"/>
  <c r="N558" i="7" s="1"/>
  <c r="T560" i="7"/>
  <c r="U560" i="7"/>
  <c r="Q561" i="7"/>
  <c r="R561" i="7"/>
  <c r="S561" i="7"/>
  <c r="T561" i="7"/>
  <c r="U561" i="7"/>
  <c r="O562" i="7"/>
  <c r="P562" i="7"/>
  <c r="T562" i="7"/>
  <c r="U562" i="7"/>
  <c r="L563" i="7"/>
  <c r="M563" i="7"/>
  <c r="M561" i="7" s="1"/>
  <c r="N563" i="7"/>
  <c r="N561" i="7" s="1"/>
  <c r="T563" i="7"/>
  <c r="U563" i="7"/>
  <c r="K565" i="7"/>
  <c r="I575" i="7"/>
  <c r="J575" i="7"/>
  <c r="L577" i="7"/>
  <c r="M577" i="7"/>
  <c r="N577" i="7"/>
  <c r="O577" i="7"/>
  <c r="P577" i="7"/>
  <c r="Q577" i="7"/>
  <c r="R577" i="7"/>
  <c r="R576" i="7" s="1"/>
  <c r="U576" i="7" s="1"/>
  <c r="S577" i="7"/>
  <c r="S576" i="7" s="1"/>
  <c r="T577" i="7"/>
  <c r="U577" i="7"/>
  <c r="Q578" i="7"/>
  <c r="T578" i="7" s="1"/>
  <c r="R578" i="7"/>
  <c r="U578" i="7" s="1"/>
  <c r="S578" i="7"/>
  <c r="Q579" i="7"/>
  <c r="R579" i="7"/>
  <c r="U579" i="7" s="1"/>
  <c r="S579" i="7"/>
  <c r="T579" i="7"/>
  <c r="O580" i="7"/>
  <c r="P580" i="7"/>
  <c r="T580" i="7"/>
  <c r="U580" i="7"/>
  <c r="L581" i="7"/>
  <c r="M581" i="7"/>
  <c r="M579" i="7" s="1"/>
  <c r="N581" i="7"/>
  <c r="N579" i="7" s="1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N584" i="7"/>
  <c r="N582" i="7" s="1"/>
  <c r="T584" i="7"/>
  <c r="U584" i="7"/>
  <c r="K586" i="7"/>
  <c r="K587" i="7"/>
  <c r="L600" i="7"/>
  <c r="O600" i="7" s="1"/>
  <c r="M600" i="7"/>
  <c r="N600" i="7"/>
  <c r="Q600" i="7"/>
  <c r="R600" i="7"/>
  <c r="U600" i="7" s="1"/>
  <c r="S600" i="7"/>
  <c r="T600" i="7"/>
  <c r="O603" i="7"/>
  <c r="P603" i="7"/>
  <c r="T603" i="7"/>
  <c r="U603" i="7"/>
  <c r="L604" i="7"/>
  <c r="M604" i="7"/>
  <c r="M602" i="7" s="1"/>
  <c r="N604" i="7"/>
  <c r="N602" i="7" s="1"/>
  <c r="Q604" i="7"/>
  <c r="T604" i="7" s="1"/>
  <c r="R604" i="7"/>
  <c r="S604" i="7"/>
  <c r="O606" i="7"/>
  <c r="P606" i="7"/>
  <c r="T606" i="7"/>
  <c r="U606" i="7"/>
  <c r="L607" i="7"/>
  <c r="L605" i="7" s="1"/>
  <c r="O605" i="7" s="1"/>
  <c r="M607" i="7"/>
  <c r="N607" i="7"/>
  <c r="N605" i="7" s="1"/>
  <c r="Q607" i="7"/>
  <c r="Q605" i="7" s="1"/>
  <c r="T605" i="7" s="1"/>
  <c r="R607" i="7"/>
  <c r="S607" i="7"/>
  <c r="S605" i="7" s="1"/>
  <c r="L617" i="7"/>
  <c r="O617" i="7" s="1"/>
  <c r="M617" i="7"/>
  <c r="N617" i="7"/>
  <c r="N616" i="7" s="1"/>
  <c r="P617" i="7"/>
  <c r="Q617" i="7"/>
  <c r="R617" i="7"/>
  <c r="U617" i="7" s="1"/>
  <c r="S617" i="7"/>
  <c r="L618" i="7"/>
  <c r="O618" i="7" s="1"/>
  <c r="M618" i="7"/>
  <c r="P618" i="7" s="1"/>
  <c r="N618" i="7"/>
  <c r="L619" i="7"/>
  <c r="M619" i="7"/>
  <c r="P619" i="7" s="1"/>
  <c r="N619" i="7"/>
  <c r="O619" i="7"/>
  <c r="O620" i="7"/>
  <c r="P620" i="7"/>
  <c r="T620" i="7"/>
  <c r="U620" i="7"/>
  <c r="O621" i="7"/>
  <c r="P621" i="7"/>
  <c r="Q621" i="7"/>
  <c r="Q619" i="7" s="1"/>
  <c r="R621" i="7"/>
  <c r="R619" i="7" s="1"/>
  <c r="S621" i="7"/>
  <c r="L622" i="7"/>
  <c r="O622" i="7" s="1"/>
  <c r="M622" i="7"/>
  <c r="N622" i="7"/>
  <c r="P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O643" i="7" s="1"/>
  <c r="M643" i="7"/>
  <c r="N643" i="7"/>
  <c r="Q643" i="7"/>
  <c r="R643" i="7"/>
  <c r="S643" i="7"/>
  <c r="T643" i="7"/>
  <c r="L644" i="7"/>
  <c r="O644" i="7" s="1"/>
  <c r="M644" i="7"/>
  <c r="N644" i="7"/>
  <c r="N642" i="7" s="1"/>
  <c r="P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T645" i="7" s="1"/>
  <c r="R647" i="7"/>
  <c r="R644" i="7" s="1"/>
  <c r="U644" i="7" s="1"/>
  <c r="S647" i="7"/>
  <c r="S644" i="7" s="1"/>
  <c r="S642" i="7" s="1"/>
  <c r="L648" i="7"/>
  <c r="M648" i="7"/>
  <c r="P648" i="7" s="1"/>
  <c r="N648" i="7"/>
  <c r="O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N690" i="7"/>
  <c r="L691" i="7"/>
  <c r="O691" i="7" s="1"/>
  <c r="M691" i="7"/>
  <c r="N691" i="7"/>
  <c r="P691" i="7"/>
  <c r="Q691" i="7"/>
  <c r="R691" i="7"/>
  <c r="S691" i="7"/>
  <c r="T691" i="7"/>
  <c r="L692" i="7"/>
  <c r="O692" i="7" s="1"/>
  <c r="M692" i="7"/>
  <c r="P692" i="7" s="1"/>
  <c r="N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3" i="7" s="1"/>
  <c r="R695" i="7"/>
  <c r="R693" i="7" s="1"/>
  <c r="S695" i="7"/>
  <c r="S692" i="7" s="1"/>
  <c r="L696" i="7"/>
  <c r="M696" i="7"/>
  <c r="P696" i="7" s="1"/>
  <c r="N696" i="7"/>
  <c r="O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689" i="7" s="1"/>
  <c r="J708" i="7"/>
  <c r="K708" i="7"/>
  <c r="I709" i="7"/>
  <c r="J709" i="7"/>
  <c r="J710" i="7"/>
  <c r="K710" i="7"/>
  <c r="J712" i="7"/>
  <c r="K712" i="7"/>
  <c r="L715" i="7"/>
  <c r="O715" i="7" s="1"/>
  <c r="M715" i="7"/>
  <c r="N715" i="7"/>
  <c r="N714" i="7" s="1"/>
  <c r="Q715" i="7"/>
  <c r="R715" i="7"/>
  <c r="U715" i="7" s="1"/>
  <c r="S715" i="7"/>
  <c r="T715" i="7"/>
  <c r="L716" i="7"/>
  <c r="M716" i="7"/>
  <c r="P716" i="7" s="1"/>
  <c r="N716" i="7"/>
  <c r="O716" i="7"/>
  <c r="Q716" i="7"/>
  <c r="Q714" i="7" s="1"/>
  <c r="T714" i="7" s="1"/>
  <c r="R716" i="7"/>
  <c r="S716" i="7"/>
  <c r="U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R720" i="7"/>
  <c r="U720" i="7" s="1"/>
  <c r="S720" i="7"/>
  <c r="T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9" i="7"/>
  <c r="O729" i="7" s="1"/>
  <c r="M729" i="7"/>
  <c r="P729" i="7" s="1"/>
  <c r="N729" i="7"/>
  <c r="Q729" i="7"/>
  <c r="T729" i="7" s="1"/>
  <c r="R729" i="7"/>
  <c r="S729" i="7"/>
  <c r="L730" i="7"/>
  <c r="O730" i="7" s="1"/>
  <c r="M730" i="7"/>
  <c r="N730" i="7"/>
  <c r="P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R733" i="7"/>
  <c r="R730" i="7" s="1"/>
  <c r="S733" i="7"/>
  <c r="S730" i="7" s="1"/>
  <c r="L734" i="7"/>
  <c r="M734" i="7"/>
  <c r="P734" i="7" s="1"/>
  <c r="N734" i="7"/>
  <c r="O734" i="7"/>
  <c r="Q734" i="7"/>
  <c r="T734" i="7" s="1"/>
  <c r="R734" i="7"/>
  <c r="S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O761" i="7"/>
  <c r="Q761" i="7"/>
  <c r="R761" i="7"/>
  <c r="S761" i="7"/>
  <c r="U761" i="7"/>
  <c r="L762" i="7"/>
  <c r="M762" i="7"/>
  <c r="P762" i="7" s="1"/>
  <c r="N762" i="7"/>
  <c r="N760" i="7" s="1"/>
  <c r="O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S765" i="7"/>
  <c r="S763" i="7" s="1"/>
  <c r="L766" i="7"/>
  <c r="O766" i="7" s="1"/>
  <c r="M766" i="7"/>
  <c r="N766" i="7"/>
  <c r="P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M22" i="6"/>
  <c r="M19" i="6" s="1"/>
  <c r="N22" i="6"/>
  <c r="Q22" i="6"/>
  <c r="T22" i="6" s="1"/>
  <c r="R22" i="6"/>
  <c r="S22" i="6"/>
  <c r="L25" i="6"/>
  <c r="M25" i="6"/>
  <c r="N25" i="6"/>
  <c r="Q25" i="6"/>
  <c r="T25" i="6" s="1"/>
  <c r="R25" i="6"/>
  <c r="S25" i="6"/>
  <c r="L45" i="6"/>
  <c r="O45" i="6" s="1"/>
  <c r="M45" i="6"/>
  <c r="N45" i="6"/>
  <c r="Q45" i="6"/>
  <c r="Q44" i="6" s="1"/>
  <c r="T44" i="6" s="1"/>
  <c r="R45" i="6"/>
  <c r="U45" i="6" s="1"/>
  <c r="S45" i="6"/>
  <c r="Q46" i="6"/>
  <c r="T46" i="6" s="1"/>
  <c r="R46" i="6"/>
  <c r="U46" i="6" s="1"/>
  <c r="S46" i="6"/>
  <c r="Q47" i="6"/>
  <c r="T47" i="6" s="1"/>
  <c r="R47" i="6"/>
  <c r="U47" i="6" s="1"/>
  <c r="S47" i="6"/>
  <c r="O48" i="6"/>
  <c r="P48" i="6"/>
  <c r="T48" i="6"/>
  <c r="U48" i="6"/>
  <c r="L49" i="6"/>
  <c r="M49" i="6"/>
  <c r="N49" i="6"/>
  <c r="T49" i="6"/>
  <c r="U49" i="6"/>
  <c r="Q50" i="6"/>
  <c r="R50" i="6"/>
  <c r="S50" i="6"/>
  <c r="T50" i="6"/>
  <c r="U50" i="6"/>
  <c r="O51" i="6"/>
  <c r="P51" i="6"/>
  <c r="T51" i="6"/>
  <c r="U51" i="6"/>
  <c r="L52" i="6"/>
  <c r="M52" i="6"/>
  <c r="N52" i="6"/>
  <c r="N50" i="6" s="1"/>
  <c r="T52" i="6"/>
  <c r="U52" i="6"/>
  <c r="Q59" i="6"/>
  <c r="T59" i="6" s="1"/>
  <c r="L60" i="6"/>
  <c r="M60" i="6"/>
  <c r="N60" i="6"/>
  <c r="Q60" i="6"/>
  <c r="R60" i="6"/>
  <c r="S60" i="6"/>
  <c r="T60" i="6"/>
  <c r="Q61" i="6"/>
  <c r="R61" i="6"/>
  <c r="S61" i="6"/>
  <c r="T61" i="6"/>
  <c r="U61" i="6"/>
  <c r="Q62" i="6"/>
  <c r="T62" i="6" s="1"/>
  <c r="R62" i="6"/>
  <c r="U62" i="6" s="1"/>
  <c r="S62" i="6"/>
  <c r="O63" i="6"/>
  <c r="P63" i="6"/>
  <c r="T63" i="6"/>
  <c r="U63" i="6"/>
  <c r="L64" i="6"/>
  <c r="M64" i="6"/>
  <c r="M62" i="6" s="1"/>
  <c r="N64" i="6"/>
  <c r="N62" i="6" s="1"/>
  <c r="T64" i="6"/>
  <c r="U64" i="6"/>
  <c r="Q65" i="6"/>
  <c r="R65" i="6"/>
  <c r="S65" i="6"/>
  <c r="T65" i="6"/>
  <c r="U65" i="6"/>
  <c r="O66" i="6"/>
  <c r="P66" i="6"/>
  <c r="T66" i="6"/>
  <c r="U66" i="6"/>
  <c r="L67" i="6"/>
  <c r="M67" i="6"/>
  <c r="P67" i="6" s="1"/>
  <c r="N67" i="6"/>
  <c r="N65" i="6" s="1"/>
  <c r="T67" i="6"/>
  <c r="U67" i="6"/>
  <c r="L73" i="6"/>
  <c r="O73" i="6" s="1"/>
  <c r="M73" i="6"/>
  <c r="N73" i="6"/>
  <c r="Q73" i="6"/>
  <c r="R73" i="6"/>
  <c r="S73" i="6"/>
  <c r="T73" i="6"/>
  <c r="O76" i="6"/>
  <c r="P76" i="6"/>
  <c r="T76" i="6"/>
  <c r="U76" i="6"/>
  <c r="L77" i="6"/>
  <c r="L75" i="6" s="1"/>
  <c r="M77" i="6"/>
  <c r="N77" i="6"/>
  <c r="N75" i="6" s="1"/>
  <c r="Q77" i="6"/>
  <c r="R77" i="6"/>
  <c r="R75" i="6" s="1"/>
  <c r="S77" i="6"/>
  <c r="O79" i="6"/>
  <c r="P79" i="6"/>
  <c r="T79" i="6"/>
  <c r="U79" i="6"/>
  <c r="L80" i="6"/>
  <c r="M80" i="6"/>
  <c r="P80" i="6" s="1"/>
  <c r="N80" i="6"/>
  <c r="Q80" i="6"/>
  <c r="Q78" i="6" s="1"/>
  <c r="T78" i="6" s="1"/>
  <c r="R80" i="6"/>
  <c r="U80" i="6" s="1"/>
  <c r="S80" i="6"/>
  <c r="S78" i="6" s="1"/>
  <c r="J82" i="6"/>
  <c r="J70" i="6" s="1"/>
  <c r="J83" i="6"/>
  <c r="J71" i="6" s="1"/>
  <c r="I84" i="6"/>
  <c r="K84" i="6" s="1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Q95" i="6"/>
  <c r="R95" i="6"/>
  <c r="S95" i="6"/>
  <c r="O98" i="6"/>
  <c r="P98" i="6"/>
  <c r="T98" i="6"/>
  <c r="U98" i="6"/>
  <c r="L99" i="6"/>
  <c r="M99" i="6"/>
  <c r="N99" i="6"/>
  <c r="N97" i="6" s="1"/>
  <c r="Q99" i="6"/>
  <c r="Q96" i="6" s="1"/>
  <c r="R99" i="6"/>
  <c r="R96" i="6" s="1"/>
  <c r="S99" i="6"/>
  <c r="S96" i="6" s="1"/>
  <c r="Q100" i="6"/>
  <c r="T100" i="6" s="1"/>
  <c r="R100" i="6"/>
  <c r="U100" i="6" s="1"/>
  <c r="S100" i="6"/>
  <c r="O101" i="6"/>
  <c r="P101" i="6"/>
  <c r="T101" i="6"/>
  <c r="U101" i="6"/>
  <c r="L102" i="6"/>
  <c r="M102" i="6"/>
  <c r="N102" i="6"/>
  <c r="N100" i="6" s="1"/>
  <c r="T102" i="6"/>
  <c r="U102" i="6"/>
  <c r="I108" i="6"/>
  <c r="I92" i="6" s="1"/>
  <c r="K92" i="6" s="1"/>
  <c r="I109" i="6"/>
  <c r="I93" i="6" s="1"/>
  <c r="I113" i="6"/>
  <c r="K113" i="6" s="1"/>
  <c r="I114" i="6"/>
  <c r="K114" i="6" s="1"/>
  <c r="J116" i="6"/>
  <c r="L118" i="6"/>
  <c r="O118" i="6" s="1"/>
  <c r="M118" i="6"/>
  <c r="P118" i="6" s="1"/>
  <c r="N118" i="6"/>
  <c r="Q118" i="6"/>
  <c r="R118" i="6"/>
  <c r="U118" i="6" s="1"/>
  <c r="S118" i="6"/>
  <c r="T118" i="6"/>
  <c r="O121" i="6"/>
  <c r="P121" i="6"/>
  <c r="T121" i="6"/>
  <c r="U121" i="6"/>
  <c r="L122" i="6"/>
  <c r="M122" i="6"/>
  <c r="M120" i="6" s="1"/>
  <c r="P120" i="6" s="1"/>
  <c r="N122" i="6"/>
  <c r="N120" i="6" s="1"/>
  <c r="Q122" i="6"/>
  <c r="R122" i="6"/>
  <c r="R120" i="6" s="1"/>
  <c r="S122" i="6"/>
  <c r="O124" i="6"/>
  <c r="P124" i="6"/>
  <c r="T124" i="6"/>
  <c r="U124" i="6"/>
  <c r="L125" i="6"/>
  <c r="M125" i="6"/>
  <c r="M123" i="6" s="1"/>
  <c r="P123" i="6" s="1"/>
  <c r="N125" i="6"/>
  <c r="N123" i="6" s="1"/>
  <c r="Q125" i="6"/>
  <c r="R125" i="6"/>
  <c r="U125" i="6" s="1"/>
  <c r="S125" i="6"/>
  <c r="S123" i="6" s="1"/>
  <c r="I127" i="6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O140" i="6"/>
  <c r="P140" i="6"/>
  <c r="Q140" i="6"/>
  <c r="R140" i="6"/>
  <c r="S140" i="6"/>
  <c r="U140" i="6"/>
  <c r="O143" i="6"/>
  <c r="P143" i="6"/>
  <c r="T143" i="6"/>
  <c r="U143" i="6"/>
  <c r="L144" i="6"/>
  <c r="M144" i="6"/>
  <c r="N144" i="6"/>
  <c r="N142" i="6" s="1"/>
  <c r="Q144" i="6"/>
  <c r="R144" i="6"/>
  <c r="S144" i="6"/>
  <c r="S142" i="6" s="1"/>
  <c r="O146" i="6"/>
  <c r="P146" i="6"/>
  <c r="T146" i="6"/>
  <c r="U146" i="6"/>
  <c r="L147" i="6"/>
  <c r="M147" i="6"/>
  <c r="N147" i="6"/>
  <c r="N145" i="6" s="1"/>
  <c r="Q147" i="6"/>
  <c r="R147" i="6"/>
  <c r="S147" i="6"/>
  <c r="I150" i="6"/>
  <c r="K150" i="6" s="1"/>
  <c r="I151" i="6"/>
  <c r="K151" i="6" s="1"/>
  <c r="I152" i="6"/>
  <c r="K152" i="6" s="1"/>
  <c r="I153" i="6"/>
  <c r="I138" i="6" s="1"/>
  <c r="K138" i="6" s="1"/>
  <c r="I154" i="6"/>
  <c r="I136" i="6" s="1"/>
  <c r="K136" i="6" s="1"/>
  <c r="J156" i="6"/>
  <c r="L158" i="6"/>
  <c r="M158" i="6"/>
  <c r="N158" i="6"/>
  <c r="O158" i="6"/>
  <c r="P158" i="6"/>
  <c r="Q158" i="6"/>
  <c r="T158" i="6" s="1"/>
  <c r="R158" i="6"/>
  <c r="S158" i="6"/>
  <c r="U158" i="6"/>
  <c r="O161" i="6"/>
  <c r="P161" i="6"/>
  <c r="T161" i="6"/>
  <c r="U161" i="6"/>
  <c r="L162" i="6"/>
  <c r="L160" i="6" s="1"/>
  <c r="M162" i="6"/>
  <c r="M160" i="6" s="1"/>
  <c r="N162" i="6"/>
  <c r="Q162" i="6"/>
  <c r="R162" i="6"/>
  <c r="U162" i="6" s="1"/>
  <c r="S162" i="6"/>
  <c r="S159" i="6" s="1"/>
  <c r="S157" i="6" s="1"/>
  <c r="Q163" i="6"/>
  <c r="R163" i="6"/>
  <c r="U163" i="6" s="1"/>
  <c r="S163" i="6"/>
  <c r="T163" i="6"/>
  <c r="O164" i="6"/>
  <c r="P164" i="6"/>
  <c r="T164" i="6"/>
  <c r="U164" i="6"/>
  <c r="L165" i="6"/>
  <c r="M165" i="6"/>
  <c r="P165" i="6" s="1"/>
  <c r="N165" i="6"/>
  <c r="N163" i="6" s="1"/>
  <c r="T165" i="6"/>
  <c r="U165" i="6"/>
  <c r="I167" i="6"/>
  <c r="K167" i="6" s="1"/>
  <c r="J172" i="6"/>
  <c r="L174" i="6"/>
  <c r="M174" i="6"/>
  <c r="N174" i="6"/>
  <c r="O174" i="6"/>
  <c r="P174" i="6"/>
  <c r="Q174" i="6"/>
  <c r="T174" i="6" s="1"/>
  <c r="R174" i="6"/>
  <c r="S174" i="6"/>
  <c r="U174" i="6"/>
  <c r="O177" i="6"/>
  <c r="P177" i="6"/>
  <c r="T177" i="6"/>
  <c r="U177" i="6"/>
  <c r="L178" i="6"/>
  <c r="M178" i="6"/>
  <c r="N178" i="6"/>
  <c r="Q178" i="6"/>
  <c r="Q175" i="6" s="1"/>
  <c r="R178" i="6"/>
  <c r="R175" i="6" s="1"/>
  <c r="S178" i="6"/>
  <c r="S176" i="6" s="1"/>
  <c r="Q179" i="6"/>
  <c r="T179" i="6" s="1"/>
  <c r="R179" i="6"/>
  <c r="U179" i="6" s="1"/>
  <c r="S179" i="6"/>
  <c r="O180" i="6"/>
  <c r="P180" i="6"/>
  <c r="T180" i="6"/>
  <c r="U180" i="6"/>
  <c r="L181" i="6"/>
  <c r="M181" i="6"/>
  <c r="N181" i="6"/>
  <c r="N179" i="6" s="1"/>
  <c r="T181" i="6"/>
  <c r="U181" i="6"/>
  <c r="I183" i="6"/>
  <c r="I172" i="6" s="1"/>
  <c r="K184" i="6"/>
  <c r="L187" i="6"/>
  <c r="O187" i="6" s="1"/>
  <c r="M187" i="6"/>
  <c r="P187" i="6" s="1"/>
  <c r="N187" i="6"/>
  <c r="Q187" i="6"/>
  <c r="R187" i="6"/>
  <c r="S187" i="6"/>
  <c r="T187" i="6"/>
  <c r="U187" i="6"/>
  <c r="O190" i="6"/>
  <c r="P190" i="6"/>
  <c r="T190" i="6"/>
  <c r="U190" i="6"/>
  <c r="L191" i="6"/>
  <c r="L189" i="6" s="1"/>
  <c r="M191" i="6"/>
  <c r="N191" i="6"/>
  <c r="N189" i="6" s="1"/>
  <c r="Q191" i="6"/>
  <c r="R191" i="6"/>
  <c r="S191" i="6"/>
  <c r="O193" i="6"/>
  <c r="P193" i="6"/>
  <c r="T193" i="6"/>
  <c r="U193" i="6"/>
  <c r="L194" i="6"/>
  <c r="L192" i="6" s="1"/>
  <c r="O192" i="6" s="1"/>
  <c r="M194" i="6"/>
  <c r="P194" i="6" s="1"/>
  <c r="N194" i="6"/>
  <c r="N192" i="6" s="1"/>
  <c r="Q194" i="6"/>
  <c r="T194" i="6" s="1"/>
  <c r="R194" i="6"/>
  <c r="R192" i="6" s="1"/>
  <c r="U192" i="6" s="1"/>
  <c r="S194" i="6"/>
  <c r="S192" i="6" s="1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K220" i="6" s="1"/>
  <c r="J221" i="6"/>
  <c r="N222" i="6"/>
  <c r="P222" i="6"/>
  <c r="L223" i="6"/>
  <c r="L224" i="6"/>
  <c r="L225" i="6"/>
  <c r="I228" i="6"/>
  <c r="K228" i="6" s="1"/>
  <c r="I229" i="6"/>
  <c r="I221" i="6" s="1"/>
  <c r="I230" i="6"/>
  <c r="K230" i="6" s="1"/>
  <c r="J231" i="6"/>
  <c r="J185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N243" i="6"/>
  <c r="P243" i="6"/>
  <c r="L244" i="6"/>
  <c r="L245" i="6"/>
  <c r="L246" i="6"/>
  <c r="L247" i="6"/>
  <c r="I249" i="6"/>
  <c r="I242" i="6" s="1"/>
  <c r="K251" i="6"/>
  <c r="K252" i="6"/>
  <c r="J253" i="6"/>
  <c r="N254" i="6"/>
  <c r="P254" i="6"/>
  <c r="L255" i="6"/>
  <c r="L256" i="6"/>
  <c r="L257" i="6"/>
  <c r="L258" i="6"/>
  <c r="I260" i="6"/>
  <c r="K260" i="6" s="1"/>
  <c r="K262" i="6"/>
  <c r="K263" i="6"/>
  <c r="J265" i="6"/>
  <c r="L267" i="6"/>
  <c r="O267" i="6" s="1"/>
  <c r="M267" i="6"/>
  <c r="N267" i="6"/>
  <c r="Q267" i="6"/>
  <c r="T267" i="6" s="1"/>
  <c r="R267" i="6"/>
  <c r="U267" i="6" s="1"/>
  <c r="S267" i="6"/>
  <c r="O270" i="6"/>
  <c r="P270" i="6"/>
  <c r="T270" i="6"/>
  <c r="U270" i="6"/>
  <c r="L271" i="6"/>
  <c r="M271" i="6"/>
  <c r="M269" i="6" s="1"/>
  <c r="N271" i="6"/>
  <c r="N269" i="6" s="1"/>
  <c r="Q271" i="6"/>
  <c r="Q268" i="6" s="1"/>
  <c r="R271" i="6"/>
  <c r="R268" i="6" s="1"/>
  <c r="S271" i="6"/>
  <c r="S268" i="6" s="1"/>
  <c r="Q272" i="6"/>
  <c r="T272" i="6" s="1"/>
  <c r="R272" i="6"/>
  <c r="U272" i="6" s="1"/>
  <c r="S272" i="6"/>
  <c r="O273" i="6"/>
  <c r="P273" i="6"/>
  <c r="T273" i="6"/>
  <c r="U273" i="6"/>
  <c r="L274" i="6"/>
  <c r="O274" i="6" s="1"/>
  <c r="M274" i="6"/>
  <c r="N274" i="6"/>
  <c r="T274" i="6"/>
  <c r="U274" i="6"/>
  <c r="I276" i="6"/>
  <c r="J281" i="6"/>
  <c r="L283" i="6"/>
  <c r="O283" i="6" s="1"/>
  <c r="M283" i="6"/>
  <c r="P283" i="6" s="1"/>
  <c r="N283" i="6"/>
  <c r="Q283" i="6"/>
  <c r="R283" i="6"/>
  <c r="U283" i="6" s="1"/>
  <c r="S283" i="6"/>
  <c r="S282" i="6" s="1"/>
  <c r="Q284" i="6"/>
  <c r="T284" i="6" s="1"/>
  <c r="R284" i="6"/>
  <c r="U284" i="6" s="1"/>
  <c r="S284" i="6"/>
  <c r="Q285" i="6"/>
  <c r="T285" i="6" s="1"/>
  <c r="R285" i="6"/>
  <c r="U285" i="6" s="1"/>
  <c r="S285" i="6"/>
  <c r="O286" i="6"/>
  <c r="P286" i="6"/>
  <c r="T286" i="6"/>
  <c r="U286" i="6"/>
  <c r="L287" i="6"/>
  <c r="M287" i="6"/>
  <c r="M285" i="6" s="1"/>
  <c r="N287" i="6"/>
  <c r="N285" i="6" s="1"/>
  <c r="T287" i="6"/>
  <c r="U287" i="6"/>
  <c r="Q288" i="6"/>
  <c r="R288" i="6"/>
  <c r="S288" i="6"/>
  <c r="T288" i="6"/>
  <c r="U288" i="6"/>
  <c r="O289" i="6"/>
  <c r="P289" i="6"/>
  <c r="T289" i="6"/>
  <c r="U289" i="6"/>
  <c r="L290" i="6"/>
  <c r="M290" i="6"/>
  <c r="N290" i="6"/>
  <c r="N288" i="6" s="1"/>
  <c r="T290" i="6"/>
  <c r="U290" i="6"/>
  <c r="I292" i="6"/>
  <c r="I281" i="6" s="1"/>
  <c r="K281" i="6" s="1"/>
  <c r="I293" i="6"/>
  <c r="I280" i="6" s="1"/>
  <c r="J293" i="6"/>
  <c r="J280" i="6" s="1"/>
  <c r="I295" i="6"/>
  <c r="K295" i="6" s="1"/>
  <c r="I296" i="6"/>
  <c r="K296" i="6" s="1"/>
  <c r="I298" i="6"/>
  <c r="K298" i="6" s="1"/>
  <c r="I299" i="6"/>
  <c r="K299" i="6" s="1"/>
  <c r="J302" i="6"/>
  <c r="L304" i="6"/>
  <c r="M304" i="6"/>
  <c r="N304" i="6"/>
  <c r="O304" i="6"/>
  <c r="P304" i="6"/>
  <c r="Q304" i="6"/>
  <c r="R304" i="6"/>
  <c r="S304" i="6"/>
  <c r="U304" i="6"/>
  <c r="O307" i="6"/>
  <c r="P307" i="6"/>
  <c r="T307" i="6"/>
  <c r="U307" i="6"/>
  <c r="L308" i="6"/>
  <c r="L306" i="6" s="1"/>
  <c r="M308" i="6"/>
  <c r="N308" i="6"/>
  <c r="N306" i="6" s="1"/>
  <c r="Q308" i="6"/>
  <c r="Q306" i="6" s="1"/>
  <c r="R308" i="6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L309" i="6" s="1"/>
  <c r="O309" i="6" s="1"/>
  <c r="M311" i="6"/>
  <c r="P311" i="6" s="1"/>
  <c r="N311" i="6"/>
  <c r="N309" i="6" s="1"/>
  <c r="T311" i="6"/>
  <c r="U311" i="6"/>
  <c r="I314" i="6"/>
  <c r="K314" i="6" s="1"/>
  <c r="J319" i="6"/>
  <c r="R320" i="6"/>
  <c r="U320" i="6" s="1"/>
  <c r="L321" i="6"/>
  <c r="M321" i="6"/>
  <c r="P321" i="6" s="1"/>
  <c r="N321" i="6"/>
  <c r="O321" i="6"/>
  <c r="Q321" i="6"/>
  <c r="R321" i="6"/>
  <c r="S321" i="6"/>
  <c r="S320" i="6" s="1"/>
  <c r="U321" i="6"/>
  <c r="Q322" i="6"/>
  <c r="T322" i="6" s="1"/>
  <c r="R322" i="6"/>
  <c r="S322" i="6"/>
  <c r="U322" i="6"/>
  <c r="Q323" i="6"/>
  <c r="T323" i="6" s="1"/>
  <c r="R323" i="6"/>
  <c r="U323" i="6" s="1"/>
  <c r="S323" i="6"/>
  <c r="O324" i="6"/>
  <c r="P324" i="6"/>
  <c r="T324" i="6"/>
  <c r="U324" i="6"/>
  <c r="L325" i="6"/>
  <c r="O325" i="6" s="1"/>
  <c r="M325" i="6"/>
  <c r="M323" i="6" s="1"/>
  <c r="P323" i="6" s="1"/>
  <c r="N325" i="6"/>
  <c r="T325" i="6"/>
  <c r="U325" i="6"/>
  <c r="Q326" i="6"/>
  <c r="T326" i="6" s="1"/>
  <c r="R326" i="6"/>
  <c r="U326" i="6" s="1"/>
  <c r="S326" i="6"/>
  <c r="O327" i="6"/>
  <c r="P327" i="6"/>
  <c r="T327" i="6"/>
  <c r="U327" i="6"/>
  <c r="L328" i="6"/>
  <c r="O328" i="6" s="1"/>
  <c r="M328" i="6"/>
  <c r="M326" i="6" s="1"/>
  <c r="P326" i="6" s="1"/>
  <c r="N328" i="6"/>
  <c r="N326" i="6" s="1"/>
  <c r="T328" i="6"/>
  <c r="U328" i="6"/>
  <c r="I330" i="6"/>
  <c r="K330" i="6" s="1"/>
  <c r="I332" i="6"/>
  <c r="L334" i="6"/>
  <c r="O334" i="6" s="1"/>
  <c r="M334" i="6"/>
  <c r="N334" i="6"/>
  <c r="P334" i="6"/>
  <c r="Q334" i="6"/>
  <c r="R334" i="6"/>
  <c r="R333" i="6" s="1"/>
  <c r="U333" i="6" s="1"/>
  <c r="S334" i="6"/>
  <c r="S333" i="6" s="1"/>
  <c r="T334" i="6"/>
  <c r="Q335" i="6"/>
  <c r="R335" i="6"/>
  <c r="U335" i="6" s="1"/>
  <c r="S335" i="6"/>
  <c r="T335" i="6"/>
  <c r="Q336" i="6"/>
  <c r="T336" i="6" s="1"/>
  <c r="R336" i="6"/>
  <c r="U336" i="6" s="1"/>
  <c r="S336" i="6"/>
  <c r="O337" i="6"/>
  <c r="P337" i="6"/>
  <c r="T337" i="6"/>
  <c r="U337" i="6"/>
  <c r="L338" i="6"/>
  <c r="M338" i="6"/>
  <c r="M336" i="6" s="1"/>
  <c r="N338" i="6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O341" i="6" s="1"/>
  <c r="M341" i="6"/>
  <c r="P341" i="6" s="1"/>
  <c r="N341" i="6"/>
  <c r="N339" i="6" s="1"/>
  <c r="T341" i="6"/>
  <c r="U341" i="6"/>
  <c r="J344" i="6"/>
  <c r="K344" i="6"/>
  <c r="I346" i="6"/>
  <c r="J346" i="6"/>
  <c r="J347" i="6"/>
  <c r="J348" i="6"/>
  <c r="J349" i="6"/>
  <c r="D350" i="6"/>
  <c r="J352" i="6"/>
  <c r="J353" i="6"/>
  <c r="J354" i="6"/>
  <c r="S356" i="6"/>
  <c r="L357" i="6"/>
  <c r="O357" i="6" s="1"/>
  <c r="M357" i="6"/>
  <c r="P357" i="6" s="1"/>
  <c r="N357" i="6"/>
  <c r="Q357" i="6"/>
  <c r="T357" i="6" s="1"/>
  <c r="R357" i="6"/>
  <c r="S357" i="6"/>
  <c r="Q358" i="6"/>
  <c r="R358" i="6"/>
  <c r="U358" i="6" s="1"/>
  <c r="S358" i="6"/>
  <c r="T358" i="6"/>
  <c r="Q359" i="6"/>
  <c r="T359" i="6" s="1"/>
  <c r="R359" i="6"/>
  <c r="U359" i="6" s="1"/>
  <c r="S359" i="6"/>
  <c r="O360" i="6"/>
  <c r="P360" i="6"/>
  <c r="T360" i="6"/>
  <c r="U360" i="6"/>
  <c r="L361" i="6"/>
  <c r="M361" i="6"/>
  <c r="M359" i="6" s="1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L362" i="6" s="1"/>
  <c r="O362" i="6" s="1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J371" i="6"/>
  <c r="J365" i="6" s="1"/>
  <c r="J372" i="6"/>
  <c r="K372" i="6"/>
  <c r="D373" i="6"/>
  <c r="L376" i="6"/>
  <c r="O376" i="6" s="1"/>
  <c r="M376" i="6"/>
  <c r="N376" i="6"/>
  <c r="P376" i="6"/>
  <c r="Q376" i="6"/>
  <c r="R376" i="6"/>
  <c r="S376" i="6"/>
  <c r="T376" i="6"/>
  <c r="O379" i="6"/>
  <c r="P379" i="6"/>
  <c r="T379" i="6"/>
  <c r="U379" i="6"/>
  <c r="L380" i="6"/>
  <c r="M380" i="6"/>
  <c r="N380" i="6"/>
  <c r="N378" i="6" s="1"/>
  <c r="Q380" i="6"/>
  <c r="Q378" i="6" s="1"/>
  <c r="R380" i="6"/>
  <c r="R377" i="6" s="1"/>
  <c r="S380" i="6"/>
  <c r="Q381" i="6"/>
  <c r="T381" i="6" s="1"/>
  <c r="R381" i="6"/>
  <c r="U381" i="6" s="1"/>
  <c r="S381" i="6"/>
  <c r="O382" i="6"/>
  <c r="P382" i="6"/>
  <c r="T382" i="6"/>
  <c r="U382" i="6"/>
  <c r="L383" i="6"/>
  <c r="M383" i="6"/>
  <c r="P383" i="6" s="1"/>
  <c r="N383" i="6"/>
  <c r="N381" i="6" s="1"/>
  <c r="T383" i="6"/>
  <c r="U383" i="6"/>
  <c r="J385" i="6"/>
  <c r="K385" i="6"/>
  <c r="I386" i="6"/>
  <c r="J386" i="6"/>
  <c r="J387" i="6"/>
  <c r="K387" i="6"/>
  <c r="I388" i="6"/>
  <c r="K388" i="6" s="1"/>
  <c r="J388" i="6"/>
  <c r="I391" i="6"/>
  <c r="K391" i="6" s="1"/>
  <c r="J391" i="6"/>
  <c r="L393" i="6"/>
  <c r="O393" i="6" s="1"/>
  <c r="M393" i="6"/>
  <c r="N393" i="6"/>
  <c r="P393" i="6"/>
  <c r="Q393" i="6"/>
  <c r="R393" i="6"/>
  <c r="U393" i="6" s="1"/>
  <c r="S393" i="6"/>
  <c r="T393" i="6"/>
  <c r="L394" i="6"/>
  <c r="O394" i="6" s="1"/>
  <c r="M394" i="6"/>
  <c r="M392" i="6" s="1"/>
  <c r="P392" i="6" s="1"/>
  <c r="N394" i="6"/>
  <c r="L395" i="6"/>
  <c r="M395" i="6"/>
  <c r="P395" i="6" s="1"/>
  <c r="N395" i="6"/>
  <c r="O395" i="6"/>
  <c r="O396" i="6"/>
  <c r="P396" i="6"/>
  <c r="T396" i="6"/>
  <c r="U396" i="6"/>
  <c r="O397" i="6"/>
  <c r="P397" i="6"/>
  <c r="Q397" i="6"/>
  <c r="Q394" i="6" s="1"/>
  <c r="T394" i="6" s="1"/>
  <c r="R397" i="6"/>
  <c r="R395" i="6" s="1"/>
  <c r="U395" i="6" s="1"/>
  <c r="S397" i="6"/>
  <c r="S394" i="6" s="1"/>
  <c r="S392" i="6" s="1"/>
  <c r="L398" i="6"/>
  <c r="M398" i="6"/>
  <c r="P398" i="6" s="1"/>
  <c r="N398" i="6"/>
  <c r="O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P414" i="6"/>
  <c r="Q414" i="6"/>
  <c r="R414" i="6"/>
  <c r="U414" i="6" s="1"/>
  <c r="S414" i="6"/>
  <c r="O417" i="6"/>
  <c r="P417" i="6"/>
  <c r="T417" i="6"/>
  <c r="U417" i="6"/>
  <c r="L418" i="6"/>
  <c r="M418" i="6"/>
  <c r="N418" i="6"/>
  <c r="N416" i="6" s="1"/>
  <c r="Q418" i="6"/>
  <c r="Q415" i="6" s="1"/>
  <c r="R418" i="6"/>
  <c r="S418" i="6"/>
  <c r="S415" i="6" s="1"/>
  <c r="S413" i="6" s="1"/>
  <c r="Q419" i="6"/>
  <c r="T419" i="6" s="1"/>
  <c r="R419" i="6"/>
  <c r="S419" i="6"/>
  <c r="U419" i="6"/>
  <c r="O420" i="6"/>
  <c r="P420" i="6"/>
  <c r="T420" i="6"/>
  <c r="U420" i="6"/>
  <c r="L421" i="6"/>
  <c r="O421" i="6" s="1"/>
  <c r="M421" i="6"/>
  <c r="P421" i="6" s="1"/>
  <c r="N421" i="6"/>
  <c r="N419" i="6" s="1"/>
  <c r="T421" i="6"/>
  <c r="U421" i="6"/>
  <c r="I424" i="6"/>
  <c r="J424" i="6"/>
  <c r="I425" i="6"/>
  <c r="K425" i="6" s="1"/>
  <c r="J425" i="6"/>
  <c r="I432" i="6"/>
  <c r="J432" i="6"/>
  <c r="I433" i="6"/>
  <c r="J433" i="6"/>
  <c r="I440" i="6"/>
  <c r="J440" i="6"/>
  <c r="J423" i="6" s="1"/>
  <c r="J412" i="6" s="1"/>
  <c r="I441" i="6"/>
  <c r="K441" i="6" s="1"/>
  <c r="J446" i="6"/>
  <c r="J447" i="6"/>
  <c r="J441" i="6" s="1"/>
  <c r="I457" i="6"/>
  <c r="I456" i="6" s="1"/>
  <c r="I458" i="6"/>
  <c r="J458" i="6"/>
  <c r="J459" i="6"/>
  <c r="J460" i="6"/>
  <c r="J467" i="6"/>
  <c r="J457" i="6" s="1"/>
  <c r="J468" i="6"/>
  <c r="J475" i="6"/>
  <c r="K475" i="6"/>
  <c r="J476" i="6"/>
  <c r="K476" i="6"/>
  <c r="J477" i="6"/>
  <c r="K477" i="6"/>
  <c r="I484" i="6"/>
  <c r="J484" i="6"/>
  <c r="I485" i="6"/>
  <c r="J485" i="6"/>
  <c r="L494" i="6"/>
  <c r="O494" i="6" s="1"/>
  <c r="M494" i="6"/>
  <c r="N494" i="6"/>
  <c r="P494" i="6"/>
  <c r="Q494" i="6"/>
  <c r="R494" i="6"/>
  <c r="S494" i="6"/>
  <c r="U494" i="6"/>
  <c r="O497" i="6"/>
  <c r="P497" i="6"/>
  <c r="T497" i="6"/>
  <c r="U497" i="6"/>
  <c r="L498" i="6"/>
  <c r="O498" i="6" s="1"/>
  <c r="M498" i="6"/>
  <c r="N498" i="6"/>
  <c r="N496" i="6" s="1"/>
  <c r="Q498" i="6"/>
  <c r="Q495" i="6" s="1"/>
  <c r="T495" i="6" s="1"/>
  <c r="R498" i="6"/>
  <c r="U498" i="6" s="1"/>
  <c r="S498" i="6"/>
  <c r="S495" i="6" s="1"/>
  <c r="S493" i="6" s="1"/>
  <c r="Q499" i="6"/>
  <c r="T499" i="6" s="1"/>
  <c r="R499" i="6"/>
  <c r="S499" i="6"/>
  <c r="U499" i="6"/>
  <c r="O500" i="6"/>
  <c r="P500" i="6"/>
  <c r="T500" i="6"/>
  <c r="U500" i="6"/>
  <c r="L501" i="6"/>
  <c r="O501" i="6" s="1"/>
  <c r="M501" i="6"/>
  <c r="P501" i="6" s="1"/>
  <c r="N501" i="6"/>
  <c r="N499" i="6" s="1"/>
  <c r="T501" i="6"/>
  <c r="U501" i="6"/>
  <c r="I503" i="6"/>
  <c r="I504" i="6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M514" i="6"/>
  <c r="P514" i="6" s="1"/>
  <c r="N514" i="6"/>
  <c r="O514" i="6"/>
  <c r="Q514" i="6"/>
  <c r="R514" i="6"/>
  <c r="U514" i="6" s="1"/>
  <c r="S514" i="6"/>
  <c r="T514" i="6"/>
  <c r="Q515" i="6"/>
  <c r="Q513" i="6" s="1"/>
  <c r="T513" i="6" s="1"/>
  <c r="R515" i="6"/>
  <c r="R513" i="6" s="1"/>
  <c r="U513" i="6" s="1"/>
  <c r="S515" i="6"/>
  <c r="S513" i="6" s="1"/>
  <c r="U515" i="6"/>
  <c r="Q516" i="6"/>
  <c r="T516" i="6" s="1"/>
  <c r="R516" i="6"/>
  <c r="U516" i="6" s="1"/>
  <c r="S516" i="6"/>
  <c r="O517" i="6"/>
  <c r="P517" i="6"/>
  <c r="T517" i="6"/>
  <c r="U517" i="6"/>
  <c r="L518" i="6"/>
  <c r="L516" i="6" s="1"/>
  <c r="O516" i="6" s="1"/>
  <c r="M518" i="6"/>
  <c r="N518" i="6"/>
  <c r="T518" i="6"/>
  <c r="U518" i="6"/>
  <c r="Q519" i="6"/>
  <c r="R519" i="6"/>
  <c r="U519" i="6" s="1"/>
  <c r="S519" i="6"/>
  <c r="T519" i="6"/>
  <c r="O520" i="6"/>
  <c r="P520" i="6"/>
  <c r="T520" i="6"/>
  <c r="U520" i="6"/>
  <c r="L521" i="6"/>
  <c r="M521" i="6"/>
  <c r="P521" i="6" s="1"/>
  <c r="N521" i="6"/>
  <c r="N519" i="6" s="1"/>
  <c r="T521" i="6"/>
  <c r="U521" i="6"/>
  <c r="K523" i="6"/>
  <c r="K524" i="6"/>
  <c r="I533" i="6"/>
  <c r="K533" i="6" s="1"/>
  <c r="J533" i="6"/>
  <c r="L535" i="6"/>
  <c r="M535" i="6"/>
  <c r="P535" i="6" s="1"/>
  <c r="N535" i="6"/>
  <c r="O535" i="6"/>
  <c r="Q535" i="6"/>
  <c r="R535" i="6"/>
  <c r="U535" i="6" s="1"/>
  <c r="S535" i="6"/>
  <c r="T535" i="6"/>
  <c r="Q536" i="6"/>
  <c r="R536" i="6"/>
  <c r="S536" i="6"/>
  <c r="Q537" i="6"/>
  <c r="T537" i="6" s="1"/>
  <c r="R537" i="6"/>
  <c r="U537" i="6" s="1"/>
  <c r="S537" i="6"/>
  <c r="O538" i="6"/>
  <c r="P538" i="6"/>
  <c r="T538" i="6"/>
  <c r="U538" i="6"/>
  <c r="L539" i="6"/>
  <c r="M539" i="6"/>
  <c r="M537" i="6" s="1"/>
  <c r="P537" i="6" s="1"/>
  <c r="N539" i="6"/>
  <c r="N537" i="6" s="1"/>
  <c r="T539" i="6"/>
  <c r="U539" i="6"/>
  <c r="Q540" i="6"/>
  <c r="T540" i="6" s="1"/>
  <c r="R540" i="6"/>
  <c r="S540" i="6"/>
  <c r="U540" i="6"/>
  <c r="O541" i="6"/>
  <c r="P541" i="6"/>
  <c r="T541" i="6"/>
  <c r="U541" i="6"/>
  <c r="L542" i="6"/>
  <c r="M542" i="6"/>
  <c r="P542" i="6" s="1"/>
  <c r="N542" i="6"/>
  <c r="N540" i="6" s="1"/>
  <c r="T542" i="6"/>
  <c r="U542" i="6"/>
  <c r="I554" i="6"/>
  <c r="K554" i="6" s="1"/>
  <c r="J554" i="6"/>
  <c r="L556" i="6"/>
  <c r="M556" i="6"/>
  <c r="N556" i="6"/>
  <c r="Q556" i="6"/>
  <c r="R556" i="6"/>
  <c r="S556" i="6"/>
  <c r="S555" i="6" s="1"/>
  <c r="Q557" i="6"/>
  <c r="T557" i="6" s="1"/>
  <c r="R557" i="6"/>
  <c r="U557" i="6" s="1"/>
  <c r="S557" i="6"/>
  <c r="Q558" i="6"/>
  <c r="T558" i="6" s="1"/>
  <c r="R558" i="6"/>
  <c r="S558" i="6"/>
  <c r="U558" i="6"/>
  <c r="O559" i="6"/>
  <c r="P559" i="6"/>
  <c r="T559" i="6"/>
  <c r="U559" i="6"/>
  <c r="L560" i="6"/>
  <c r="M560" i="6"/>
  <c r="M558" i="6" s="1"/>
  <c r="P558" i="6" s="1"/>
  <c r="N560" i="6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O563" i="6" s="1"/>
  <c r="M563" i="6"/>
  <c r="N563" i="6"/>
  <c r="N561" i="6" s="1"/>
  <c r="T563" i="6"/>
  <c r="U563" i="6"/>
  <c r="I575" i="6"/>
  <c r="J575" i="6"/>
  <c r="L577" i="6"/>
  <c r="M577" i="6"/>
  <c r="N577" i="6"/>
  <c r="Q577" i="6"/>
  <c r="T577" i="6" s="1"/>
  <c r="R577" i="6"/>
  <c r="S577" i="6"/>
  <c r="Q578" i="6"/>
  <c r="R578" i="6"/>
  <c r="S578" i="6"/>
  <c r="U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M581" i="6"/>
  <c r="M579" i="6" s="1"/>
  <c r="N581" i="6"/>
  <c r="N579" i="6" s="1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L582" i="6" s="1"/>
  <c r="O582" i="6" s="1"/>
  <c r="M584" i="6"/>
  <c r="M582" i="6" s="1"/>
  <c r="P582" i="6" s="1"/>
  <c r="N584" i="6"/>
  <c r="N582" i="6" s="1"/>
  <c r="T584" i="6"/>
  <c r="U584" i="6"/>
  <c r="K586" i="6"/>
  <c r="K587" i="6"/>
  <c r="L600" i="6"/>
  <c r="M600" i="6"/>
  <c r="P600" i="6" s="1"/>
  <c r="N600" i="6"/>
  <c r="Q600" i="6"/>
  <c r="R600" i="6"/>
  <c r="U600" i="6" s="1"/>
  <c r="S600" i="6"/>
  <c r="T600" i="6"/>
  <c r="O603" i="6"/>
  <c r="P603" i="6"/>
  <c r="T603" i="6"/>
  <c r="U603" i="6"/>
  <c r="L604" i="6"/>
  <c r="O604" i="6" s="1"/>
  <c r="M604" i="6"/>
  <c r="M602" i="6" s="1"/>
  <c r="P602" i="6" s="1"/>
  <c r="N604" i="6"/>
  <c r="Q604" i="6"/>
  <c r="T604" i="6" s="1"/>
  <c r="R604" i="6"/>
  <c r="U604" i="6" s="1"/>
  <c r="S604" i="6"/>
  <c r="O606" i="6"/>
  <c r="P606" i="6"/>
  <c r="T606" i="6"/>
  <c r="U606" i="6"/>
  <c r="L607" i="6"/>
  <c r="L605" i="6" s="1"/>
  <c r="O605" i="6" s="1"/>
  <c r="M607" i="6"/>
  <c r="N607" i="6"/>
  <c r="N605" i="6" s="1"/>
  <c r="Q607" i="6"/>
  <c r="T607" i="6" s="1"/>
  <c r="R607" i="6"/>
  <c r="R605" i="6" s="1"/>
  <c r="U605" i="6" s="1"/>
  <c r="S607" i="6"/>
  <c r="S605" i="6" s="1"/>
  <c r="L617" i="6"/>
  <c r="M617" i="6"/>
  <c r="P617" i="6" s="1"/>
  <c r="N617" i="6"/>
  <c r="Q617" i="6"/>
  <c r="R617" i="6"/>
  <c r="S617" i="6"/>
  <c r="L618" i="6"/>
  <c r="O618" i="6" s="1"/>
  <c r="M618" i="6"/>
  <c r="P618" i="6" s="1"/>
  <c r="N618" i="6"/>
  <c r="N616" i="6" s="1"/>
  <c r="L619" i="6"/>
  <c r="M619" i="6"/>
  <c r="P619" i="6" s="1"/>
  <c r="N619" i="6"/>
  <c r="O619" i="6"/>
  <c r="O620" i="6"/>
  <c r="P620" i="6"/>
  <c r="T620" i="6"/>
  <c r="U620" i="6"/>
  <c r="O621" i="6"/>
  <c r="P621" i="6"/>
  <c r="Q621" i="6"/>
  <c r="R621" i="6"/>
  <c r="R619" i="6" s="1"/>
  <c r="S621" i="6"/>
  <c r="S619" i="6" s="1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J626" i="6"/>
  <c r="J615" i="6" s="1"/>
  <c r="I627" i="6"/>
  <c r="K627" i="6" s="1"/>
  <c r="I628" i="6"/>
  <c r="K628" i="6" s="1"/>
  <c r="J632" i="6"/>
  <c r="I635" i="6"/>
  <c r="K635" i="6" s="1"/>
  <c r="J636" i="6"/>
  <c r="J635" i="6" s="1"/>
  <c r="L643" i="6"/>
  <c r="M643" i="6"/>
  <c r="M642" i="6" s="1"/>
  <c r="P642" i="6" s="1"/>
  <c r="N643" i="6"/>
  <c r="O643" i="6"/>
  <c r="Q643" i="6"/>
  <c r="R643" i="6"/>
  <c r="U643" i="6" s="1"/>
  <c r="S643" i="6"/>
  <c r="L644" i="6"/>
  <c r="O644" i="6" s="1"/>
  <c r="M644" i="6"/>
  <c r="P644" i="6" s="1"/>
  <c r="N644" i="6"/>
  <c r="N642" i="6" s="1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5" i="6" s="1"/>
  <c r="R647" i="6"/>
  <c r="R644" i="6" s="1"/>
  <c r="S647" i="6"/>
  <c r="L648" i="6"/>
  <c r="O648" i="6" s="1"/>
  <c r="M648" i="6"/>
  <c r="N648" i="6"/>
  <c r="P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J653" i="6"/>
  <c r="I654" i="6"/>
  <c r="J654" i="6"/>
  <c r="I657" i="6"/>
  <c r="I660" i="6"/>
  <c r="I661" i="6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J682" i="6"/>
  <c r="M690" i="6"/>
  <c r="P690" i="6" s="1"/>
  <c r="L691" i="6"/>
  <c r="L690" i="6" s="1"/>
  <c r="O690" i="6" s="1"/>
  <c r="M691" i="6"/>
  <c r="N691" i="6"/>
  <c r="N690" i="6" s="1"/>
  <c r="P691" i="6"/>
  <c r="Q691" i="6"/>
  <c r="R691" i="6"/>
  <c r="U691" i="6" s="1"/>
  <c r="S691" i="6"/>
  <c r="L692" i="6"/>
  <c r="O692" i="6" s="1"/>
  <c r="M692" i="6"/>
  <c r="P692" i="6" s="1"/>
  <c r="N692" i="6"/>
  <c r="L693" i="6"/>
  <c r="M693" i="6"/>
  <c r="P693" i="6" s="1"/>
  <c r="N693" i="6"/>
  <c r="O693" i="6"/>
  <c r="O694" i="6"/>
  <c r="P694" i="6"/>
  <c r="T694" i="6"/>
  <c r="U694" i="6"/>
  <c r="O695" i="6"/>
  <c r="P695" i="6"/>
  <c r="Q695" i="6"/>
  <c r="Q693" i="6" s="1"/>
  <c r="R695" i="6"/>
  <c r="S695" i="6"/>
  <c r="S692" i="6" s="1"/>
  <c r="S690" i="6" s="1"/>
  <c r="L696" i="6"/>
  <c r="O696" i="6" s="1"/>
  <c r="M696" i="6"/>
  <c r="P696" i="6" s="1"/>
  <c r="N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J707" i="6"/>
  <c r="J689" i="6" s="1"/>
  <c r="J708" i="6"/>
  <c r="K708" i="6"/>
  <c r="I709" i="6"/>
  <c r="J709" i="6"/>
  <c r="J710" i="6"/>
  <c r="K710" i="6"/>
  <c r="J712" i="6"/>
  <c r="K712" i="6"/>
  <c r="R714" i="6"/>
  <c r="U714" i="6" s="1"/>
  <c r="L715" i="6"/>
  <c r="L714" i="6" s="1"/>
  <c r="O714" i="6" s="1"/>
  <c r="M715" i="6"/>
  <c r="P715" i="6" s="1"/>
  <c r="N715" i="6"/>
  <c r="Q715" i="6"/>
  <c r="T715" i="6" s="1"/>
  <c r="R715" i="6"/>
  <c r="U715" i="6" s="1"/>
  <c r="S715" i="6"/>
  <c r="L716" i="6"/>
  <c r="M716" i="6"/>
  <c r="N716" i="6"/>
  <c r="O716" i="6"/>
  <c r="P716" i="6"/>
  <c r="Q716" i="6"/>
  <c r="T716" i="6" s="1"/>
  <c r="R716" i="6"/>
  <c r="S716" i="6"/>
  <c r="U716" i="6"/>
  <c r="L717" i="6"/>
  <c r="O717" i="6" s="1"/>
  <c r="M717" i="6"/>
  <c r="P717" i="6" s="1"/>
  <c r="N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L728" i="6"/>
  <c r="O728" i="6" s="1"/>
  <c r="L729" i="6"/>
  <c r="M729" i="6"/>
  <c r="P729" i="6" s="1"/>
  <c r="N729" i="6"/>
  <c r="O729" i="6"/>
  <c r="Q729" i="6"/>
  <c r="R729" i="6"/>
  <c r="U729" i="6" s="1"/>
  <c r="S729" i="6"/>
  <c r="T729" i="6"/>
  <c r="L730" i="6"/>
  <c r="O730" i="6" s="1"/>
  <c r="M730" i="6"/>
  <c r="N730" i="6"/>
  <c r="P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Q730" i="6" s="1"/>
  <c r="Q728" i="6" s="1"/>
  <c r="R733" i="6"/>
  <c r="R731" i="6" s="1"/>
  <c r="S733" i="6"/>
  <c r="S730" i="6" s="1"/>
  <c r="L734" i="6"/>
  <c r="M734" i="6"/>
  <c r="P734" i="6" s="1"/>
  <c r="N734" i="6"/>
  <c r="O734" i="6"/>
  <c r="Q734" i="6"/>
  <c r="T734" i="6" s="1"/>
  <c r="R734" i="6"/>
  <c r="S734" i="6"/>
  <c r="U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P761" i="6" s="1"/>
  <c r="N761" i="6"/>
  <c r="N760" i="6" s="1"/>
  <c r="O761" i="6"/>
  <c r="Q761" i="6"/>
  <c r="T761" i="6" s="1"/>
  <c r="R761" i="6"/>
  <c r="S761" i="6"/>
  <c r="U761" i="6"/>
  <c r="L762" i="6"/>
  <c r="O762" i="6" s="1"/>
  <c r="M762" i="6"/>
  <c r="M760" i="6" s="1"/>
  <c r="P760" i="6" s="1"/>
  <c r="N762" i="6"/>
  <c r="L763" i="6"/>
  <c r="M763" i="6"/>
  <c r="P763" i="6" s="1"/>
  <c r="N763" i="6"/>
  <c r="O763" i="6"/>
  <c r="O764" i="6"/>
  <c r="P764" i="6"/>
  <c r="T764" i="6"/>
  <c r="U764" i="6"/>
  <c r="O765" i="6"/>
  <c r="P765" i="6"/>
  <c r="Q765" i="6"/>
  <c r="Q763" i="6" s="1"/>
  <c r="R765" i="6"/>
  <c r="R762" i="6" s="1"/>
  <c r="S765" i="6"/>
  <c r="S762" i="6" s="1"/>
  <c r="L766" i="6"/>
  <c r="O766" i="6" s="1"/>
  <c r="M766" i="6"/>
  <c r="N766" i="6"/>
  <c r="P766" i="6"/>
  <c r="Q766" i="6"/>
  <c r="T766" i="6" s="1"/>
  <c r="R766" i="6"/>
  <c r="S766" i="6"/>
  <c r="U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N22" i="5"/>
  <c r="O22" i="5"/>
  <c r="P22" i="5"/>
  <c r="Q22" i="5"/>
  <c r="T22" i="5" s="1"/>
  <c r="R22" i="5"/>
  <c r="U22" i="5" s="1"/>
  <c r="S22" i="5"/>
  <c r="L25" i="5"/>
  <c r="O25" i="5" s="1"/>
  <c r="M25" i="5"/>
  <c r="P25" i="5" s="1"/>
  <c r="N25" i="5"/>
  <c r="Q25" i="5"/>
  <c r="T25" i="5" s="1"/>
  <c r="R25" i="5"/>
  <c r="S25" i="5"/>
  <c r="U25" i="5"/>
  <c r="L45" i="5"/>
  <c r="O45" i="5" s="1"/>
  <c r="M45" i="5"/>
  <c r="N45" i="5"/>
  <c r="P45" i="5"/>
  <c r="Q45" i="5"/>
  <c r="R45" i="5"/>
  <c r="U45" i="5" s="1"/>
  <c r="S45" i="5"/>
  <c r="Q46" i="5"/>
  <c r="T46" i="5" s="1"/>
  <c r="R46" i="5"/>
  <c r="U46" i="5" s="1"/>
  <c r="S46" i="5"/>
  <c r="Q47" i="5"/>
  <c r="T47" i="5" s="1"/>
  <c r="R47" i="5"/>
  <c r="U47" i="5" s="1"/>
  <c r="S47" i="5"/>
  <c r="O48" i="5"/>
  <c r="P48" i="5"/>
  <c r="T48" i="5"/>
  <c r="U48" i="5"/>
  <c r="L49" i="5"/>
  <c r="M49" i="5"/>
  <c r="N49" i="5"/>
  <c r="N47" i="5" s="1"/>
  <c r="T49" i="5"/>
  <c r="U49" i="5"/>
  <c r="Q50" i="5"/>
  <c r="T50" i="5" s="1"/>
  <c r="R50" i="5"/>
  <c r="S50" i="5"/>
  <c r="U50" i="5"/>
  <c r="O51" i="5"/>
  <c r="P51" i="5"/>
  <c r="T51" i="5"/>
  <c r="U51" i="5"/>
  <c r="L52" i="5"/>
  <c r="O52" i="5" s="1"/>
  <c r="M52" i="5"/>
  <c r="P52" i="5" s="1"/>
  <c r="N52" i="5"/>
  <c r="N50" i="5" s="1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Q62" i="5"/>
  <c r="R62" i="5"/>
  <c r="U62" i="5" s="1"/>
  <c r="S62" i="5"/>
  <c r="T62" i="5"/>
  <c r="O63" i="5"/>
  <c r="P63" i="5"/>
  <c r="T63" i="5"/>
  <c r="U63" i="5"/>
  <c r="L64" i="5"/>
  <c r="M64" i="5"/>
  <c r="N64" i="5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N73" i="5"/>
  <c r="P73" i="5"/>
  <c r="Q73" i="5"/>
  <c r="R73" i="5"/>
  <c r="U73" i="5" s="1"/>
  <c r="S73" i="5"/>
  <c r="O76" i="5"/>
  <c r="P76" i="5"/>
  <c r="T76" i="5"/>
  <c r="U76" i="5"/>
  <c r="L77" i="5"/>
  <c r="M77" i="5"/>
  <c r="M75" i="5" s="1"/>
  <c r="P75" i="5" s="1"/>
  <c r="N77" i="5"/>
  <c r="Q77" i="5"/>
  <c r="R77" i="5"/>
  <c r="R75" i="5" s="1"/>
  <c r="U75" i="5" s="1"/>
  <c r="S77" i="5"/>
  <c r="O79" i="5"/>
  <c r="P79" i="5"/>
  <c r="T79" i="5"/>
  <c r="U79" i="5"/>
  <c r="L80" i="5"/>
  <c r="O80" i="5" s="1"/>
  <c r="M80" i="5"/>
  <c r="M78" i="5" s="1"/>
  <c r="P78" i="5" s="1"/>
  <c r="N80" i="5"/>
  <c r="N78" i="5" s="1"/>
  <c r="Q80" i="5"/>
  <c r="T80" i="5" s="1"/>
  <c r="R80" i="5"/>
  <c r="U80" i="5" s="1"/>
  <c r="S80" i="5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T95" i="5" s="1"/>
  <c r="R95" i="5"/>
  <c r="S95" i="5"/>
  <c r="O98" i="5"/>
  <c r="P98" i="5"/>
  <c r="T98" i="5"/>
  <c r="U98" i="5"/>
  <c r="L99" i="5"/>
  <c r="O99" i="5" s="1"/>
  <c r="M99" i="5"/>
  <c r="N99" i="5"/>
  <c r="Q99" i="5"/>
  <c r="Q97" i="5" s="1"/>
  <c r="T97" i="5" s="1"/>
  <c r="R99" i="5"/>
  <c r="U99" i="5" s="1"/>
  <c r="S99" i="5"/>
  <c r="S96" i="5" s="1"/>
  <c r="Q100" i="5"/>
  <c r="R100" i="5"/>
  <c r="U100" i="5" s="1"/>
  <c r="S100" i="5"/>
  <c r="T100" i="5"/>
  <c r="O101" i="5"/>
  <c r="P101" i="5"/>
  <c r="T101" i="5"/>
  <c r="U101" i="5"/>
  <c r="L102" i="5"/>
  <c r="M102" i="5"/>
  <c r="M100" i="5" s="1"/>
  <c r="P100" i="5" s="1"/>
  <c r="N102" i="5"/>
  <c r="N100" i="5" s="1"/>
  <c r="T102" i="5"/>
  <c r="U102" i="5"/>
  <c r="I108" i="5"/>
  <c r="I109" i="5"/>
  <c r="I93" i="5" s="1"/>
  <c r="K93" i="5" s="1"/>
  <c r="I114" i="5"/>
  <c r="K114" i="5" s="1"/>
  <c r="J116" i="5"/>
  <c r="L118" i="5"/>
  <c r="O118" i="5" s="1"/>
  <c r="M118" i="5"/>
  <c r="P118" i="5" s="1"/>
  <c r="N118" i="5"/>
  <c r="Q118" i="5"/>
  <c r="R118" i="5"/>
  <c r="S118" i="5"/>
  <c r="T118" i="5"/>
  <c r="O121" i="5"/>
  <c r="P121" i="5"/>
  <c r="T121" i="5"/>
  <c r="U121" i="5"/>
  <c r="L122" i="5"/>
  <c r="M122" i="5"/>
  <c r="P122" i="5" s="1"/>
  <c r="N122" i="5"/>
  <c r="N120" i="5" s="1"/>
  <c r="Q122" i="5"/>
  <c r="R122" i="5"/>
  <c r="S122" i="5"/>
  <c r="O124" i="5"/>
  <c r="P124" i="5"/>
  <c r="T124" i="5"/>
  <c r="U124" i="5"/>
  <c r="L125" i="5"/>
  <c r="O125" i="5" s="1"/>
  <c r="M125" i="5"/>
  <c r="M123" i="5" s="1"/>
  <c r="P123" i="5" s="1"/>
  <c r="N125" i="5"/>
  <c r="Q125" i="5"/>
  <c r="R125" i="5"/>
  <c r="U125" i="5" s="1"/>
  <c r="S125" i="5"/>
  <c r="S123" i="5" s="1"/>
  <c r="I127" i="5"/>
  <c r="I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O140" i="5"/>
  <c r="Q140" i="5"/>
  <c r="T140" i="5" s="1"/>
  <c r="R140" i="5"/>
  <c r="U140" i="5" s="1"/>
  <c r="S140" i="5"/>
  <c r="O143" i="5"/>
  <c r="P143" i="5"/>
  <c r="T143" i="5"/>
  <c r="U143" i="5"/>
  <c r="L144" i="5"/>
  <c r="L142" i="5" s="1"/>
  <c r="M144" i="5"/>
  <c r="N144" i="5"/>
  <c r="Q144" i="5"/>
  <c r="R144" i="5"/>
  <c r="S144" i="5"/>
  <c r="O146" i="5"/>
  <c r="P146" i="5"/>
  <c r="T146" i="5"/>
  <c r="U146" i="5"/>
  <c r="L147" i="5"/>
  <c r="L145" i="5" s="1"/>
  <c r="O145" i="5" s="1"/>
  <c r="M147" i="5"/>
  <c r="N147" i="5"/>
  <c r="N145" i="5" s="1"/>
  <c r="Q147" i="5"/>
  <c r="R147" i="5"/>
  <c r="S147" i="5"/>
  <c r="S145" i="5" s="1"/>
  <c r="I150" i="5"/>
  <c r="K150" i="5" s="1"/>
  <c r="I151" i="5"/>
  <c r="K151" i="5" s="1"/>
  <c r="I152" i="5"/>
  <c r="I153" i="5"/>
  <c r="K153" i="5" s="1"/>
  <c r="I154" i="5"/>
  <c r="J156" i="5"/>
  <c r="L158" i="5"/>
  <c r="M158" i="5"/>
  <c r="P158" i="5" s="1"/>
  <c r="N158" i="5"/>
  <c r="O158" i="5"/>
  <c r="Q158" i="5"/>
  <c r="T158" i="5" s="1"/>
  <c r="R158" i="5"/>
  <c r="S158" i="5"/>
  <c r="U158" i="5"/>
  <c r="O161" i="5"/>
  <c r="P161" i="5"/>
  <c r="T161" i="5"/>
  <c r="U161" i="5"/>
  <c r="L162" i="5"/>
  <c r="M162" i="5"/>
  <c r="M160" i="5" s="1"/>
  <c r="N162" i="5"/>
  <c r="Q162" i="5"/>
  <c r="R162" i="5"/>
  <c r="R159" i="5" s="1"/>
  <c r="S162" i="5"/>
  <c r="S159" i="5" s="1"/>
  <c r="Q163" i="5"/>
  <c r="T163" i="5" s="1"/>
  <c r="R163" i="5"/>
  <c r="U163" i="5" s="1"/>
  <c r="S163" i="5"/>
  <c r="O164" i="5"/>
  <c r="P164" i="5"/>
  <c r="T164" i="5"/>
  <c r="U164" i="5"/>
  <c r="L165" i="5"/>
  <c r="L163" i="5" s="1"/>
  <c r="O163" i="5" s="1"/>
  <c r="M165" i="5"/>
  <c r="M163" i="5" s="1"/>
  <c r="P163" i="5" s="1"/>
  <c r="N165" i="5"/>
  <c r="N163" i="5" s="1"/>
  <c r="T165" i="5"/>
  <c r="U165" i="5"/>
  <c r="I167" i="5"/>
  <c r="I156" i="5" s="1"/>
  <c r="K156" i="5" s="1"/>
  <c r="J172" i="5"/>
  <c r="L174" i="5"/>
  <c r="M174" i="5"/>
  <c r="N174" i="5"/>
  <c r="Q174" i="5"/>
  <c r="R174" i="5"/>
  <c r="S174" i="5"/>
  <c r="T174" i="5"/>
  <c r="O177" i="5"/>
  <c r="P177" i="5"/>
  <c r="T177" i="5"/>
  <c r="U177" i="5"/>
  <c r="L178" i="5"/>
  <c r="M178" i="5"/>
  <c r="N178" i="5"/>
  <c r="Q178" i="5"/>
  <c r="Q175" i="5" s="1"/>
  <c r="R178" i="5"/>
  <c r="S178" i="5"/>
  <c r="S175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P181" i="5" s="1"/>
  <c r="N181" i="5"/>
  <c r="T181" i="5"/>
  <c r="U181" i="5"/>
  <c r="I183" i="5"/>
  <c r="K184" i="5"/>
  <c r="L187" i="5"/>
  <c r="M187" i="5"/>
  <c r="P187" i="5" s="1"/>
  <c r="N187" i="5"/>
  <c r="O187" i="5"/>
  <c r="Q187" i="5"/>
  <c r="T187" i="5" s="1"/>
  <c r="R187" i="5"/>
  <c r="S187" i="5"/>
  <c r="U187" i="5"/>
  <c r="O190" i="5"/>
  <c r="P190" i="5"/>
  <c r="T190" i="5"/>
  <c r="U190" i="5"/>
  <c r="L191" i="5"/>
  <c r="L189" i="5" s="1"/>
  <c r="M191" i="5"/>
  <c r="N191" i="5"/>
  <c r="Q191" i="5"/>
  <c r="Q189" i="5" s="1"/>
  <c r="R191" i="5"/>
  <c r="S191" i="5"/>
  <c r="S189" i="5" s="1"/>
  <c r="O193" i="5"/>
  <c r="P193" i="5"/>
  <c r="T193" i="5"/>
  <c r="U193" i="5"/>
  <c r="L194" i="5"/>
  <c r="L192" i="5" s="1"/>
  <c r="O192" i="5" s="1"/>
  <c r="M194" i="5"/>
  <c r="N194" i="5"/>
  <c r="N192" i="5" s="1"/>
  <c r="Q194" i="5"/>
  <c r="R194" i="5"/>
  <c r="R192" i="5" s="1"/>
  <c r="U192" i="5" s="1"/>
  <c r="S194" i="5"/>
  <c r="J195" i="5"/>
  <c r="L196" i="5"/>
  <c r="O196" i="5" s="1"/>
  <c r="P196" i="5"/>
  <c r="I198" i="5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K229" i="5" s="1"/>
  <c r="I230" i="5"/>
  <c r="N233" i="5"/>
  <c r="N234" i="5"/>
  <c r="N235" i="5"/>
  <c r="N236" i="5"/>
  <c r="J238" i="5"/>
  <c r="I240" i="5"/>
  <c r="J240" i="5"/>
  <c r="K240" i="5"/>
  <c r="I241" i="5"/>
  <c r="K241" i="5" s="1"/>
  <c r="J241" i="5"/>
  <c r="J242" i="5"/>
  <c r="N243" i="5"/>
  <c r="N232" i="5" s="1"/>
  <c r="P243" i="5"/>
  <c r="L244" i="5"/>
  <c r="L245" i="5"/>
  <c r="L246" i="5"/>
  <c r="L247" i="5"/>
  <c r="I249" i="5"/>
  <c r="K251" i="5"/>
  <c r="K252" i="5"/>
  <c r="J253" i="5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M267" i="5"/>
  <c r="N267" i="5"/>
  <c r="Q267" i="5"/>
  <c r="R267" i="5"/>
  <c r="S267" i="5"/>
  <c r="U267" i="5"/>
  <c r="O270" i="5"/>
  <c r="P270" i="5"/>
  <c r="T270" i="5"/>
  <c r="U270" i="5"/>
  <c r="L271" i="5"/>
  <c r="L269" i="5" s="1"/>
  <c r="M271" i="5"/>
  <c r="M269" i="5" s="1"/>
  <c r="N271" i="5"/>
  <c r="N269" i="5" s="1"/>
  <c r="Q271" i="5"/>
  <c r="R271" i="5"/>
  <c r="R269" i="5" s="1"/>
  <c r="S271" i="5"/>
  <c r="S269" i="5" s="1"/>
  <c r="Q272" i="5"/>
  <c r="T272" i="5" s="1"/>
  <c r="R272" i="5"/>
  <c r="U272" i="5" s="1"/>
  <c r="S272" i="5"/>
  <c r="O273" i="5"/>
  <c r="P273" i="5"/>
  <c r="T273" i="5"/>
  <c r="U273" i="5"/>
  <c r="L274" i="5"/>
  <c r="L272" i="5" s="1"/>
  <c r="O272" i="5" s="1"/>
  <c r="M274" i="5"/>
  <c r="M272" i="5" s="1"/>
  <c r="P272" i="5" s="1"/>
  <c r="N274" i="5"/>
  <c r="N272" i="5" s="1"/>
  <c r="T274" i="5"/>
  <c r="U274" i="5"/>
  <c r="I276" i="5"/>
  <c r="K276" i="5" s="1"/>
  <c r="J281" i="5"/>
  <c r="L283" i="5"/>
  <c r="M283" i="5"/>
  <c r="N283" i="5"/>
  <c r="P283" i="5"/>
  <c r="Q283" i="5"/>
  <c r="R283" i="5"/>
  <c r="U283" i="5" s="1"/>
  <c r="S283" i="5"/>
  <c r="Q284" i="5"/>
  <c r="T284" i="5" s="1"/>
  <c r="R284" i="5"/>
  <c r="U284" i="5" s="1"/>
  <c r="S284" i="5"/>
  <c r="S282" i="5" s="1"/>
  <c r="Q285" i="5"/>
  <c r="T285" i="5" s="1"/>
  <c r="R285" i="5"/>
  <c r="U285" i="5" s="1"/>
  <c r="S285" i="5"/>
  <c r="O286" i="5"/>
  <c r="P286" i="5"/>
  <c r="T286" i="5"/>
  <c r="U286" i="5"/>
  <c r="L287" i="5"/>
  <c r="L285" i="5" s="1"/>
  <c r="M287" i="5"/>
  <c r="N287" i="5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M290" i="5"/>
  <c r="N290" i="5"/>
  <c r="N288" i="5" s="1"/>
  <c r="T290" i="5"/>
  <c r="U290" i="5"/>
  <c r="I292" i="5"/>
  <c r="I293" i="5"/>
  <c r="J293" i="5"/>
  <c r="J280" i="5" s="1"/>
  <c r="I295" i="5"/>
  <c r="K295" i="5" s="1"/>
  <c r="I296" i="5"/>
  <c r="K296" i="5" s="1"/>
  <c r="I298" i="5"/>
  <c r="K298" i="5" s="1"/>
  <c r="I299" i="5"/>
  <c r="K299" i="5" s="1"/>
  <c r="J302" i="5"/>
  <c r="L304" i="5"/>
  <c r="O304" i="5" s="1"/>
  <c r="M304" i="5"/>
  <c r="N304" i="5"/>
  <c r="Q304" i="5"/>
  <c r="R304" i="5"/>
  <c r="U304" i="5" s="1"/>
  <c r="S304" i="5"/>
  <c r="T304" i="5"/>
  <c r="O307" i="5"/>
  <c r="P307" i="5"/>
  <c r="T307" i="5"/>
  <c r="U307" i="5"/>
  <c r="L308" i="5"/>
  <c r="M308" i="5"/>
  <c r="N308" i="5"/>
  <c r="N306" i="5" s="1"/>
  <c r="Q308" i="5"/>
  <c r="Q305" i="5" s="1"/>
  <c r="R308" i="5"/>
  <c r="R305" i="5" s="1"/>
  <c r="S308" i="5"/>
  <c r="Q309" i="5"/>
  <c r="T309" i="5" s="1"/>
  <c r="R309" i="5"/>
  <c r="U309" i="5" s="1"/>
  <c r="S309" i="5"/>
  <c r="O310" i="5"/>
  <c r="P310" i="5"/>
  <c r="T310" i="5"/>
  <c r="U310" i="5"/>
  <c r="L311" i="5"/>
  <c r="L309" i="5" s="1"/>
  <c r="O309" i="5" s="1"/>
  <c r="M311" i="5"/>
  <c r="M309" i="5" s="1"/>
  <c r="P309" i="5" s="1"/>
  <c r="N311" i="5"/>
  <c r="N309" i="5" s="1"/>
  <c r="T311" i="5"/>
  <c r="U311" i="5"/>
  <c r="I314" i="5"/>
  <c r="K314" i="5" s="1"/>
  <c r="J319" i="5"/>
  <c r="L321" i="5"/>
  <c r="M321" i="5"/>
  <c r="N321" i="5"/>
  <c r="O321" i="5"/>
  <c r="P321" i="5"/>
  <c r="Q321" i="5"/>
  <c r="R321" i="5"/>
  <c r="R320" i="5" s="1"/>
  <c r="U320" i="5" s="1"/>
  <c r="S321" i="5"/>
  <c r="S320" i="5" s="1"/>
  <c r="Q322" i="5"/>
  <c r="T322" i="5" s="1"/>
  <c r="R322" i="5"/>
  <c r="U322" i="5" s="1"/>
  <c r="S322" i="5"/>
  <c r="Q323" i="5"/>
  <c r="T323" i="5" s="1"/>
  <c r="R323" i="5"/>
  <c r="S323" i="5"/>
  <c r="U323" i="5"/>
  <c r="O324" i="5"/>
  <c r="P324" i="5"/>
  <c r="T324" i="5"/>
  <c r="U324" i="5"/>
  <c r="L325" i="5"/>
  <c r="M325" i="5"/>
  <c r="P325" i="5" s="1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M328" i="5"/>
  <c r="M326" i="5" s="1"/>
  <c r="P326" i="5" s="1"/>
  <c r="N328" i="5"/>
  <c r="T328" i="5"/>
  <c r="U328" i="5"/>
  <c r="I330" i="5"/>
  <c r="I319" i="5" s="1"/>
  <c r="K319" i="5" s="1"/>
  <c r="I332" i="5"/>
  <c r="L334" i="5"/>
  <c r="M334" i="5"/>
  <c r="N334" i="5"/>
  <c r="Q334" i="5"/>
  <c r="T334" i="5" s="1"/>
  <c r="R334" i="5"/>
  <c r="S334" i="5"/>
  <c r="Q335" i="5"/>
  <c r="R335" i="5"/>
  <c r="S335" i="5"/>
  <c r="T335" i="5"/>
  <c r="U335" i="5"/>
  <c r="Q336" i="5"/>
  <c r="T336" i="5" s="1"/>
  <c r="R336" i="5"/>
  <c r="S336" i="5"/>
  <c r="U336" i="5"/>
  <c r="O337" i="5"/>
  <c r="P337" i="5"/>
  <c r="T337" i="5"/>
  <c r="U337" i="5"/>
  <c r="L338" i="5"/>
  <c r="L336" i="5" s="1"/>
  <c r="M338" i="5"/>
  <c r="N338" i="5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M339" i="5" s="1"/>
  <c r="P339" i="5" s="1"/>
  <c r="N341" i="5"/>
  <c r="N339" i="5" s="1"/>
  <c r="T341" i="5"/>
  <c r="U341" i="5"/>
  <c r="J344" i="5"/>
  <c r="K344" i="5"/>
  <c r="I346" i="5"/>
  <c r="J346" i="5"/>
  <c r="J347" i="5"/>
  <c r="J348" i="5"/>
  <c r="J349" i="5"/>
  <c r="D350" i="5"/>
  <c r="J352" i="5"/>
  <c r="J353" i="5"/>
  <c r="J354" i="5"/>
  <c r="L357" i="5"/>
  <c r="M357" i="5"/>
  <c r="P357" i="5" s="1"/>
  <c r="N357" i="5"/>
  <c r="O357" i="5"/>
  <c r="Q357" i="5"/>
  <c r="R357" i="5"/>
  <c r="S357" i="5"/>
  <c r="T357" i="5"/>
  <c r="U357" i="5"/>
  <c r="Q358" i="5"/>
  <c r="T358" i="5" s="1"/>
  <c r="R358" i="5"/>
  <c r="R356" i="5" s="1"/>
  <c r="U356" i="5" s="1"/>
  <c r="S358" i="5"/>
  <c r="Q359" i="5"/>
  <c r="R359" i="5"/>
  <c r="S359" i="5"/>
  <c r="T359" i="5"/>
  <c r="U359" i="5"/>
  <c r="O360" i="5"/>
  <c r="P360" i="5"/>
  <c r="T360" i="5"/>
  <c r="U360" i="5"/>
  <c r="L361" i="5"/>
  <c r="L359" i="5" s="1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M362" i="5" s="1"/>
  <c r="P362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M376" i="5"/>
  <c r="P376" i="5" s="1"/>
  <c r="N376" i="5"/>
  <c r="O376" i="5"/>
  <c r="Q376" i="5"/>
  <c r="T376" i="5" s="1"/>
  <c r="R376" i="5"/>
  <c r="S376" i="5"/>
  <c r="O379" i="5"/>
  <c r="P379" i="5"/>
  <c r="T379" i="5"/>
  <c r="U379" i="5"/>
  <c r="L380" i="5"/>
  <c r="L378" i="5" s="1"/>
  <c r="O378" i="5" s="1"/>
  <c r="M380" i="5"/>
  <c r="N380" i="5"/>
  <c r="Q380" i="5"/>
  <c r="Q378" i="5" s="1"/>
  <c r="R380" i="5"/>
  <c r="R377" i="5" s="1"/>
  <c r="S380" i="5"/>
  <c r="S377" i="5" s="1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P383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M393" i="5"/>
  <c r="N393" i="5"/>
  <c r="Q393" i="5"/>
  <c r="R393" i="5"/>
  <c r="S393" i="5"/>
  <c r="L394" i="5"/>
  <c r="O394" i="5" s="1"/>
  <c r="M394" i="5"/>
  <c r="N394" i="5"/>
  <c r="P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4" i="5" s="1"/>
  <c r="T394" i="5" s="1"/>
  <c r="R397" i="5"/>
  <c r="S397" i="5"/>
  <c r="L398" i="5"/>
  <c r="M398" i="5"/>
  <c r="P398" i="5" s="1"/>
  <c r="N398" i="5"/>
  <c r="O398" i="5"/>
  <c r="Q398" i="5"/>
  <c r="T398" i="5" s="1"/>
  <c r="R398" i="5"/>
  <c r="S398" i="5"/>
  <c r="U398" i="5"/>
  <c r="O399" i="5"/>
  <c r="P399" i="5"/>
  <c r="T399" i="5"/>
  <c r="U399" i="5"/>
  <c r="O400" i="5"/>
  <c r="P400" i="5"/>
  <c r="T400" i="5"/>
  <c r="U400" i="5"/>
  <c r="L414" i="5"/>
  <c r="M414" i="5"/>
  <c r="P414" i="5" s="1"/>
  <c r="N414" i="5"/>
  <c r="O414" i="5"/>
  <c r="Q414" i="5"/>
  <c r="R414" i="5"/>
  <c r="S414" i="5"/>
  <c r="T414" i="5"/>
  <c r="U414" i="5"/>
  <c r="O417" i="5"/>
  <c r="P417" i="5"/>
  <c r="T417" i="5"/>
  <c r="U417" i="5"/>
  <c r="L418" i="5"/>
  <c r="M418" i="5"/>
  <c r="N418" i="5"/>
  <c r="N416" i="5" s="1"/>
  <c r="Q418" i="5"/>
  <c r="Q415" i="5" s="1"/>
  <c r="R418" i="5"/>
  <c r="R415" i="5" s="1"/>
  <c r="S418" i="5"/>
  <c r="S415" i="5" s="1"/>
  <c r="S413" i="5" s="1"/>
  <c r="Q419" i="5"/>
  <c r="R419" i="5"/>
  <c r="U419" i="5" s="1"/>
  <c r="S419" i="5"/>
  <c r="T419" i="5"/>
  <c r="O420" i="5"/>
  <c r="P420" i="5"/>
  <c r="T420" i="5"/>
  <c r="U420" i="5"/>
  <c r="L421" i="5"/>
  <c r="O421" i="5" s="1"/>
  <c r="M421" i="5"/>
  <c r="N421" i="5"/>
  <c r="N419" i="5" s="1"/>
  <c r="T421" i="5"/>
  <c r="U421" i="5"/>
  <c r="I424" i="5"/>
  <c r="J424" i="5"/>
  <c r="I425" i="5"/>
  <c r="K425" i="5" s="1"/>
  <c r="J425" i="5"/>
  <c r="I432" i="5"/>
  <c r="J432" i="5"/>
  <c r="I433" i="5"/>
  <c r="J433" i="5"/>
  <c r="I440" i="5"/>
  <c r="I441" i="5"/>
  <c r="J446" i="5"/>
  <c r="J440" i="5" s="1"/>
  <c r="J423" i="5" s="1"/>
  <c r="J412" i="5" s="1"/>
  <c r="J447" i="5"/>
  <c r="J441" i="5" s="1"/>
  <c r="I457" i="5"/>
  <c r="I456" i="5" s="1"/>
  <c r="I458" i="5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I484" i="5"/>
  <c r="K484" i="5" s="1"/>
  <c r="J484" i="5"/>
  <c r="I485" i="5"/>
  <c r="J485" i="5"/>
  <c r="L494" i="5"/>
  <c r="M494" i="5"/>
  <c r="N494" i="5"/>
  <c r="O494" i="5"/>
  <c r="P494" i="5"/>
  <c r="Q494" i="5"/>
  <c r="R494" i="5"/>
  <c r="S494" i="5"/>
  <c r="U494" i="5"/>
  <c r="O497" i="5"/>
  <c r="P497" i="5"/>
  <c r="T497" i="5"/>
  <c r="U497" i="5"/>
  <c r="L498" i="5"/>
  <c r="L496" i="5" s="1"/>
  <c r="O496" i="5" s="1"/>
  <c r="M498" i="5"/>
  <c r="P498" i="5" s="1"/>
  <c r="N498" i="5"/>
  <c r="Q498" i="5"/>
  <c r="Q495" i="5" s="1"/>
  <c r="T495" i="5" s="1"/>
  <c r="R498" i="5"/>
  <c r="R495" i="5" s="1"/>
  <c r="U495" i="5" s="1"/>
  <c r="S498" i="5"/>
  <c r="S495" i="5" s="1"/>
  <c r="S493" i="5" s="1"/>
  <c r="Q499" i="5"/>
  <c r="R499" i="5"/>
  <c r="U499" i="5" s="1"/>
  <c r="S499" i="5"/>
  <c r="T499" i="5"/>
  <c r="O500" i="5"/>
  <c r="P500" i="5"/>
  <c r="T500" i="5"/>
  <c r="U500" i="5"/>
  <c r="L501" i="5"/>
  <c r="O501" i="5" s="1"/>
  <c r="M501" i="5"/>
  <c r="P501" i="5" s="1"/>
  <c r="N501" i="5"/>
  <c r="N499" i="5" s="1"/>
  <c r="T501" i="5"/>
  <c r="U501" i="5"/>
  <c r="I503" i="5"/>
  <c r="I492" i="5" s="1"/>
  <c r="K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J512" i="5"/>
  <c r="K512" i="5"/>
  <c r="Q513" i="5"/>
  <c r="T513" i="5" s="1"/>
  <c r="L514" i="5"/>
  <c r="M514" i="5"/>
  <c r="N514" i="5"/>
  <c r="Q514" i="5"/>
  <c r="R514" i="5"/>
  <c r="S514" i="5"/>
  <c r="S513" i="5" s="1"/>
  <c r="T514" i="5"/>
  <c r="Q515" i="5"/>
  <c r="R515" i="5"/>
  <c r="S515" i="5"/>
  <c r="T515" i="5"/>
  <c r="U515" i="5"/>
  <c r="Q516" i="5"/>
  <c r="T516" i="5" s="1"/>
  <c r="R516" i="5"/>
  <c r="U516" i="5" s="1"/>
  <c r="S516" i="5"/>
  <c r="O517" i="5"/>
  <c r="P517" i="5"/>
  <c r="T517" i="5"/>
  <c r="U517" i="5"/>
  <c r="L518" i="5"/>
  <c r="O518" i="5" s="1"/>
  <c r="M518" i="5"/>
  <c r="N518" i="5"/>
  <c r="N516" i="5" s="1"/>
  <c r="T518" i="5"/>
  <c r="U518" i="5"/>
  <c r="Q519" i="5"/>
  <c r="R519" i="5"/>
  <c r="S519" i="5"/>
  <c r="T519" i="5"/>
  <c r="U519" i="5"/>
  <c r="O520" i="5"/>
  <c r="P520" i="5"/>
  <c r="T520" i="5"/>
  <c r="U520" i="5"/>
  <c r="L521" i="5"/>
  <c r="M521" i="5"/>
  <c r="P521" i="5" s="1"/>
  <c r="N521" i="5"/>
  <c r="N519" i="5" s="1"/>
  <c r="T521" i="5"/>
  <c r="U521" i="5"/>
  <c r="K523" i="5"/>
  <c r="K524" i="5"/>
  <c r="I533" i="5"/>
  <c r="K533" i="5" s="1"/>
  <c r="J533" i="5"/>
  <c r="L535" i="5"/>
  <c r="O535" i="5" s="1"/>
  <c r="M535" i="5"/>
  <c r="N535" i="5"/>
  <c r="Q535" i="5"/>
  <c r="Q534" i="5" s="1"/>
  <c r="T534" i="5" s="1"/>
  <c r="R535" i="5"/>
  <c r="R534" i="5" s="1"/>
  <c r="U534" i="5" s="1"/>
  <c r="S535" i="5"/>
  <c r="S534" i="5" s="1"/>
  <c r="T535" i="5"/>
  <c r="U535" i="5"/>
  <c r="Q536" i="5"/>
  <c r="T536" i="5" s="1"/>
  <c r="R536" i="5"/>
  <c r="S536" i="5"/>
  <c r="U536" i="5"/>
  <c r="Q537" i="5"/>
  <c r="T537" i="5" s="1"/>
  <c r="R537" i="5"/>
  <c r="U537" i="5" s="1"/>
  <c r="S537" i="5"/>
  <c r="O538" i="5"/>
  <c r="P538" i="5"/>
  <c r="T538" i="5"/>
  <c r="U538" i="5"/>
  <c r="L539" i="5"/>
  <c r="L537" i="5" s="1"/>
  <c r="O537" i="5" s="1"/>
  <c r="M539" i="5"/>
  <c r="P539" i="5" s="1"/>
  <c r="N539" i="5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M542" i="5"/>
  <c r="N542" i="5"/>
  <c r="N540" i="5" s="1"/>
  <c r="T542" i="5"/>
  <c r="U542" i="5"/>
  <c r="I554" i="5"/>
  <c r="K554" i="5" s="1"/>
  <c r="J554" i="5"/>
  <c r="L556" i="5"/>
  <c r="M556" i="5"/>
  <c r="N556" i="5"/>
  <c r="P556" i="5"/>
  <c r="Q556" i="5"/>
  <c r="R556" i="5"/>
  <c r="S556" i="5"/>
  <c r="S555" i="5" s="1"/>
  <c r="Q557" i="5"/>
  <c r="T557" i="5" s="1"/>
  <c r="R557" i="5"/>
  <c r="U557" i="5" s="1"/>
  <c r="S557" i="5"/>
  <c r="Q558" i="5"/>
  <c r="T558" i="5" s="1"/>
  <c r="R558" i="5"/>
  <c r="U558" i="5" s="1"/>
  <c r="S558" i="5"/>
  <c r="O559" i="5"/>
  <c r="P559" i="5"/>
  <c r="T559" i="5"/>
  <c r="U559" i="5"/>
  <c r="L560" i="5"/>
  <c r="M560" i="5"/>
  <c r="N560" i="5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O563" i="5" s="1"/>
  <c r="M563" i="5"/>
  <c r="N563" i="5"/>
  <c r="N561" i="5" s="1"/>
  <c r="T563" i="5"/>
  <c r="U563" i="5"/>
  <c r="I575" i="5"/>
  <c r="K575" i="5" s="1"/>
  <c r="J575" i="5"/>
  <c r="L577" i="5"/>
  <c r="O577" i="5" s="1"/>
  <c r="M577" i="5"/>
  <c r="N577" i="5"/>
  <c r="Q577" i="5"/>
  <c r="Q576" i="5" s="1"/>
  <c r="T576" i="5" s="1"/>
  <c r="R577" i="5"/>
  <c r="R576" i="5" s="1"/>
  <c r="U576" i="5" s="1"/>
  <c r="S577" i="5"/>
  <c r="S576" i="5" s="1"/>
  <c r="T577" i="5"/>
  <c r="U577" i="5"/>
  <c r="Q578" i="5"/>
  <c r="T578" i="5" s="1"/>
  <c r="R578" i="5"/>
  <c r="S578" i="5"/>
  <c r="U578" i="5"/>
  <c r="Q579" i="5"/>
  <c r="T579" i="5" s="1"/>
  <c r="R579" i="5"/>
  <c r="U579" i="5" s="1"/>
  <c r="S579" i="5"/>
  <c r="O580" i="5"/>
  <c r="P580" i="5"/>
  <c r="T580" i="5"/>
  <c r="U580" i="5"/>
  <c r="L581" i="5"/>
  <c r="L579" i="5" s="1"/>
  <c r="M581" i="5"/>
  <c r="N581" i="5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M584" i="5"/>
  <c r="N584" i="5"/>
  <c r="N582" i="5" s="1"/>
  <c r="T584" i="5"/>
  <c r="U584" i="5"/>
  <c r="K586" i="5"/>
  <c r="K587" i="5"/>
  <c r="L600" i="5"/>
  <c r="M600" i="5"/>
  <c r="N600" i="5"/>
  <c r="Q600" i="5"/>
  <c r="R600" i="5"/>
  <c r="S600" i="5"/>
  <c r="O603" i="5"/>
  <c r="P603" i="5"/>
  <c r="T603" i="5"/>
  <c r="U603" i="5"/>
  <c r="L604" i="5"/>
  <c r="L602" i="5" s="1"/>
  <c r="M604" i="5"/>
  <c r="M602" i="5" s="1"/>
  <c r="N604" i="5"/>
  <c r="Q604" i="5"/>
  <c r="Q602" i="5" s="1"/>
  <c r="T602" i="5" s="1"/>
  <c r="R604" i="5"/>
  <c r="S604" i="5"/>
  <c r="S602" i="5" s="1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6" i="5"/>
  <c r="O616" i="5" s="1"/>
  <c r="L617" i="5"/>
  <c r="M617" i="5"/>
  <c r="P617" i="5" s="1"/>
  <c r="N617" i="5"/>
  <c r="N616" i="5" s="1"/>
  <c r="O617" i="5"/>
  <c r="Q617" i="5"/>
  <c r="R617" i="5"/>
  <c r="S617" i="5"/>
  <c r="U617" i="5"/>
  <c r="L618" i="5"/>
  <c r="O618" i="5" s="1"/>
  <c r="M618" i="5"/>
  <c r="N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R621" i="5"/>
  <c r="R618" i="5" s="1"/>
  <c r="R616" i="5" s="1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I615" i="5" s="1"/>
  <c r="K615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O643" i="5" s="1"/>
  <c r="M643" i="5"/>
  <c r="N643" i="5"/>
  <c r="N642" i="5" s="1"/>
  <c r="Q643" i="5"/>
  <c r="R643" i="5"/>
  <c r="U643" i="5" s="1"/>
  <c r="S643" i="5"/>
  <c r="T643" i="5"/>
  <c r="L644" i="5"/>
  <c r="M644" i="5"/>
  <c r="N644" i="5"/>
  <c r="P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T647" i="5" s="1"/>
  <c r="R647" i="5"/>
  <c r="S647" i="5"/>
  <c r="L648" i="5"/>
  <c r="M648" i="5"/>
  <c r="N648" i="5"/>
  <c r="O648" i="5"/>
  <c r="P648" i="5"/>
  <c r="Q648" i="5"/>
  <c r="T648" i="5" s="1"/>
  <c r="R648" i="5"/>
  <c r="S648" i="5"/>
  <c r="U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N690" i="5" s="1"/>
  <c r="O691" i="5"/>
  <c r="Q691" i="5"/>
  <c r="R691" i="5"/>
  <c r="S691" i="5"/>
  <c r="T691" i="5"/>
  <c r="U691" i="5"/>
  <c r="L692" i="5"/>
  <c r="L690" i="5" s="1"/>
  <c r="O690" i="5" s="1"/>
  <c r="M692" i="5"/>
  <c r="N692" i="5"/>
  <c r="P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2" i="5" s="1"/>
  <c r="R695" i="5"/>
  <c r="R693" i="5" s="1"/>
  <c r="S695" i="5"/>
  <c r="L696" i="5"/>
  <c r="O696" i="5" s="1"/>
  <c r="M696" i="5"/>
  <c r="N696" i="5"/>
  <c r="P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O715" i="5" s="1"/>
  <c r="M715" i="5"/>
  <c r="N715" i="5"/>
  <c r="Q715" i="5"/>
  <c r="R715" i="5"/>
  <c r="U715" i="5" s="1"/>
  <c r="S715" i="5"/>
  <c r="S714" i="5" s="1"/>
  <c r="T715" i="5"/>
  <c r="L716" i="5"/>
  <c r="M716" i="5"/>
  <c r="N716" i="5"/>
  <c r="O716" i="5"/>
  <c r="P716" i="5"/>
  <c r="Q716" i="5"/>
  <c r="T716" i="5" s="1"/>
  <c r="R716" i="5"/>
  <c r="S716" i="5"/>
  <c r="U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M720" i="5"/>
  <c r="N720" i="5"/>
  <c r="O720" i="5"/>
  <c r="P720" i="5"/>
  <c r="Q720" i="5"/>
  <c r="T720" i="5" s="1"/>
  <c r="R720" i="5"/>
  <c r="S720" i="5"/>
  <c r="U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J727" i="5"/>
  <c r="L729" i="5"/>
  <c r="O729" i="5" s="1"/>
  <c r="M729" i="5"/>
  <c r="N729" i="5"/>
  <c r="Q729" i="5"/>
  <c r="R729" i="5"/>
  <c r="U729" i="5" s="1"/>
  <c r="S729" i="5"/>
  <c r="L730" i="5"/>
  <c r="O730" i="5" s="1"/>
  <c r="M730" i="5"/>
  <c r="P730" i="5" s="1"/>
  <c r="N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1" i="5" s="1"/>
  <c r="R733" i="5"/>
  <c r="R731" i="5" s="1"/>
  <c r="S733" i="5"/>
  <c r="S731" i="5" s="1"/>
  <c r="L734" i="5"/>
  <c r="M734" i="5"/>
  <c r="P734" i="5" s="1"/>
  <c r="N734" i="5"/>
  <c r="O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P761" i="5" s="1"/>
  <c r="N761" i="5"/>
  <c r="N760" i="5" s="1"/>
  <c r="O761" i="5"/>
  <c r="Q761" i="5"/>
  <c r="R761" i="5"/>
  <c r="S761" i="5"/>
  <c r="T761" i="5"/>
  <c r="U761" i="5"/>
  <c r="L762" i="5"/>
  <c r="O762" i="5" s="1"/>
  <c r="M762" i="5"/>
  <c r="N762" i="5"/>
  <c r="P762" i="5"/>
  <c r="L763" i="5"/>
  <c r="O763" i="5" s="1"/>
  <c r="M763" i="5"/>
  <c r="N763" i="5"/>
  <c r="P763" i="5"/>
  <c r="O764" i="5"/>
  <c r="P764" i="5"/>
  <c r="T764" i="5"/>
  <c r="U764" i="5"/>
  <c r="O765" i="5"/>
  <c r="P765" i="5"/>
  <c r="Q765" i="5"/>
  <c r="T765" i="5" s="1"/>
  <c r="R765" i="5"/>
  <c r="R763" i="5" s="1"/>
  <c r="U763" i="5" s="1"/>
  <c r="S765" i="5"/>
  <c r="S762" i="5" s="1"/>
  <c r="L766" i="5"/>
  <c r="O766" i="5" s="1"/>
  <c r="M766" i="5"/>
  <c r="P766" i="5" s="1"/>
  <c r="N766" i="5"/>
  <c r="Q766" i="5"/>
  <c r="T766" i="5" s="1"/>
  <c r="R766" i="5"/>
  <c r="U766" i="5" s="1"/>
  <c r="S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M19" i="4" s="1"/>
  <c r="N22" i="4"/>
  <c r="Q22" i="4"/>
  <c r="R22" i="4"/>
  <c r="S22" i="4"/>
  <c r="L25" i="4"/>
  <c r="M25" i="4"/>
  <c r="N25" i="4"/>
  <c r="Q25" i="4"/>
  <c r="T25" i="4" s="1"/>
  <c r="R25" i="4"/>
  <c r="S25" i="4"/>
  <c r="L45" i="4"/>
  <c r="M45" i="4"/>
  <c r="N45" i="4"/>
  <c r="Q45" i="4"/>
  <c r="R45" i="4"/>
  <c r="U45" i="4" s="1"/>
  <c r="S45" i="4"/>
  <c r="S44" i="4" s="1"/>
  <c r="T45" i="4"/>
  <c r="Q46" i="4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M47" i="4" s="1"/>
  <c r="N49" i="4"/>
  <c r="N47" i="4" s="1"/>
  <c r="T49" i="4"/>
  <c r="U49" i="4"/>
  <c r="Q50" i="4"/>
  <c r="R50" i="4"/>
  <c r="U50" i="4" s="1"/>
  <c r="S50" i="4"/>
  <c r="T50" i="4"/>
  <c r="O51" i="4"/>
  <c r="P51" i="4"/>
  <c r="T51" i="4"/>
  <c r="U51" i="4"/>
  <c r="L52" i="4"/>
  <c r="M52" i="4"/>
  <c r="P52" i="4" s="1"/>
  <c r="N52" i="4"/>
  <c r="N50" i="4" s="1"/>
  <c r="T52" i="4"/>
  <c r="U52" i="4"/>
  <c r="L60" i="4"/>
  <c r="O60" i="4" s="1"/>
  <c r="M60" i="4"/>
  <c r="N60" i="4"/>
  <c r="Q60" i="4"/>
  <c r="Q59" i="4" s="1"/>
  <c r="T59" i="4" s="1"/>
  <c r="R60" i="4"/>
  <c r="U60" i="4" s="1"/>
  <c r="S60" i="4"/>
  <c r="T60" i="4"/>
  <c r="Q61" i="4"/>
  <c r="T61" i="4" s="1"/>
  <c r="R61" i="4"/>
  <c r="S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N64" i="4"/>
  <c r="N62" i="4" s="1"/>
  <c r="T64" i="4"/>
  <c r="U64" i="4"/>
  <c r="Q65" i="4"/>
  <c r="T65" i="4" s="1"/>
  <c r="R65" i="4"/>
  <c r="S65" i="4"/>
  <c r="U65" i="4"/>
  <c r="O66" i="4"/>
  <c r="P66" i="4"/>
  <c r="T66" i="4"/>
  <c r="U66" i="4"/>
  <c r="L67" i="4"/>
  <c r="M67" i="4"/>
  <c r="N67" i="4"/>
  <c r="N65" i="4" s="1"/>
  <c r="T67" i="4"/>
  <c r="U67" i="4"/>
  <c r="L73" i="4"/>
  <c r="M73" i="4"/>
  <c r="N73" i="4"/>
  <c r="Q73" i="4"/>
  <c r="R73" i="4"/>
  <c r="U73" i="4" s="1"/>
  <c r="S73" i="4"/>
  <c r="T73" i="4"/>
  <c r="O76" i="4"/>
  <c r="P76" i="4"/>
  <c r="T76" i="4"/>
  <c r="U76" i="4"/>
  <c r="L77" i="4"/>
  <c r="M77" i="4"/>
  <c r="M75" i="4" s="1"/>
  <c r="N77" i="4"/>
  <c r="Q77" i="4"/>
  <c r="Q75" i="4" s="1"/>
  <c r="T75" i="4" s="1"/>
  <c r="R77" i="4"/>
  <c r="U77" i="4" s="1"/>
  <c r="S77" i="4"/>
  <c r="O79" i="4"/>
  <c r="P79" i="4"/>
  <c r="T79" i="4"/>
  <c r="U79" i="4"/>
  <c r="L80" i="4"/>
  <c r="L78" i="4" s="1"/>
  <c r="O78" i="4" s="1"/>
  <c r="M80" i="4"/>
  <c r="P80" i="4" s="1"/>
  <c r="N80" i="4"/>
  <c r="N78" i="4" s="1"/>
  <c r="Q80" i="4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P95" i="4"/>
  <c r="Q95" i="4"/>
  <c r="R95" i="4"/>
  <c r="S95" i="4"/>
  <c r="O98" i="4"/>
  <c r="P98" i="4"/>
  <c r="T98" i="4"/>
  <c r="U98" i="4"/>
  <c r="L99" i="4"/>
  <c r="M99" i="4"/>
  <c r="N99" i="4"/>
  <c r="N97" i="4" s="1"/>
  <c r="Q99" i="4"/>
  <c r="R99" i="4"/>
  <c r="R96" i="4" s="1"/>
  <c r="S99" i="4"/>
  <c r="Q100" i="4"/>
  <c r="T100" i="4" s="1"/>
  <c r="R100" i="4"/>
  <c r="U100" i="4" s="1"/>
  <c r="S100" i="4"/>
  <c r="O101" i="4"/>
  <c r="P101" i="4"/>
  <c r="T101" i="4"/>
  <c r="U101" i="4"/>
  <c r="L102" i="4"/>
  <c r="M102" i="4"/>
  <c r="N102" i="4"/>
  <c r="N100" i="4" s="1"/>
  <c r="T102" i="4"/>
  <c r="U102" i="4"/>
  <c r="I108" i="4"/>
  <c r="I109" i="4"/>
  <c r="K109" i="4" s="1"/>
  <c r="I113" i="4"/>
  <c r="K113" i="4" s="1"/>
  <c r="I114" i="4"/>
  <c r="K114" i="4" s="1"/>
  <c r="J116" i="4"/>
  <c r="L118" i="4"/>
  <c r="M118" i="4"/>
  <c r="N118" i="4"/>
  <c r="O118" i="4"/>
  <c r="P118" i="4"/>
  <c r="Q118" i="4"/>
  <c r="R118" i="4"/>
  <c r="S118" i="4"/>
  <c r="T118" i="4"/>
  <c r="U118" i="4"/>
  <c r="O121" i="4"/>
  <c r="P121" i="4"/>
  <c r="T121" i="4"/>
  <c r="U121" i="4"/>
  <c r="L122" i="4"/>
  <c r="O122" i="4" s="1"/>
  <c r="M122" i="4"/>
  <c r="P122" i="4" s="1"/>
  <c r="N122" i="4"/>
  <c r="Q122" i="4"/>
  <c r="R122" i="4"/>
  <c r="R120" i="4" s="1"/>
  <c r="S122" i="4"/>
  <c r="S120" i="4" s="1"/>
  <c r="O124" i="4"/>
  <c r="P124" i="4"/>
  <c r="T124" i="4"/>
  <c r="U124" i="4"/>
  <c r="L125" i="4"/>
  <c r="M125" i="4"/>
  <c r="N125" i="4"/>
  <c r="N123" i="4" s="1"/>
  <c r="Q125" i="4"/>
  <c r="R125" i="4"/>
  <c r="U125" i="4" s="1"/>
  <c r="S125" i="4"/>
  <c r="S123" i="4" s="1"/>
  <c r="I127" i="4"/>
  <c r="I128" i="4"/>
  <c r="K128" i="4" s="1"/>
  <c r="I129" i="4"/>
  <c r="K129" i="4" s="1"/>
  <c r="I130" i="4"/>
  <c r="K130" i="4" s="1"/>
  <c r="J136" i="4"/>
  <c r="J137" i="4"/>
  <c r="J138" i="4"/>
  <c r="L140" i="4"/>
  <c r="M140" i="4"/>
  <c r="P140" i="4" s="1"/>
  <c r="N140" i="4"/>
  <c r="O140" i="4"/>
  <c r="Q140" i="4"/>
  <c r="R140" i="4"/>
  <c r="S140" i="4"/>
  <c r="U140" i="4"/>
  <c r="O143" i="4"/>
  <c r="P143" i="4"/>
  <c r="T143" i="4"/>
  <c r="U143" i="4"/>
  <c r="L144" i="4"/>
  <c r="M144" i="4"/>
  <c r="N144" i="4"/>
  <c r="Q144" i="4"/>
  <c r="R144" i="4"/>
  <c r="S144" i="4"/>
  <c r="O146" i="4"/>
  <c r="P146" i="4"/>
  <c r="T146" i="4"/>
  <c r="U146" i="4"/>
  <c r="L147" i="4"/>
  <c r="M147" i="4"/>
  <c r="N147" i="4"/>
  <c r="N145" i="4" s="1"/>
  <c r="Q147" i="4"/>
  <c r="R147" i="4"/>
  <c r="S147" i="4"/>
  <c r="S145" i="4" s="1"/>
  <c r="I150" i="4"/>
  <c r="K150" i="4" s="1"/>
  <c r="I151" i="4"/>
  <c r="K151" i="4" s="1"/>
  <c r="I152" i="4"/>
  <c r="K152" i="4" s="1"/>
  <c r="I153" i="4"/>
  <c r="I154" i="4"/>
  <c r="K154" i="4" s="1"/>
  <c r="J156" i="4"/>
  <c r="L158" i="4"/>
  <c r="O158" i="4" s="1"/>
  <c r="M158" i="4"/>
  <c r="P158" i="4" s="1"/>
  <c r="N158" i="4"/>
  <c r="Q158" i="4"/>
  <c r="R158" i="4"/>
  <c r="U158" i="4" s="1"/>
  <c r="S158" i="4"/>
  <c r="T158" i="4"/>
  <c r="O161" i="4"/>
  <c r="P161" i="4"/>
  <c r="T161" i="4"/>
  <c r="U161" i="4"/>
  <c r="L162" i="4"/>
  <c r="M162" i="4"/>
  <c r="N162" i="4"/>
  <c r="N160" i="4" s="1"/>
  <c r="Q162" i="4"/>
  <c r="R162" i="4"/>
  <c r="U162" i="4" s="1"/>
  <c r="S162" i="4"/>
  <c r="Q163" i="4"/>
  <c r="T163" i="4" s="1"/>
  <c r="R163" i="4"/>
  <c r="U163" i="4" s="1"/>
  <c r="S163" i="4"/>
  <c r="O164" i="4"/>
  <c r="P164" i="4"/>
  <c r="T164" i="4"/>
  <c r="U164" i="4"/>
  <c r="L165" i="4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M174" i="4"/>
  <c r="N174" i="4"/>
  <c r="O174" i="4"/>
  <c r="P174" i="4"/>
  <c r="Q174" i="4"/>
  <c r="T174" i="4" s="1"/>
  <c r="R174" i="4"/>
  <c r="S174" i="4"/>
  <c r="U174" i="4"/>
  <c r="O177" i="4"/>
  <c r="P177" i="4"/>
  <c r="T177" i="4"/>
  <c r="U177" i="4"/>
  <c r="L178" i="4"/>
  <c r="L176" i="4" s="1"/>
  <c r="M178" i="4"/>
  <c r="M176" i="4" s="1"/>
  <c r="N178" i="4"/>
  <c r="Q178" i="4"/>
  <c r="Q176" i="4" s="1"/>
  <c r="R178" i="4"/>
  <c r="R175" i="4" s="1"/>
  <c r="S178" i="4"/>
  <c r="S175" i="4" s="1"/>
  <c r="S173" i="4" s="1"/>
  <c r="Q179" i="4"/>
  <c r="R179" i="4"/>
  <c r="U179" i="4" s="1"/>
  <c r="S179" i="4"/>
  <c r="T179" i="4"/>
  <c r="O180" i="4"/>
  <c r="P180" i="4"/>
  <c r="T180" i="4"/>
  <c r="U180" i="4"/>
  <c r="L181" i="4"/>
  <c r="M181" i="4"/>
  <c r="P181" i="4" s="1"/>
  <c r="N181" i="4"/>
  <c r="N179" i="4" s="1"/>
  <c r="T181" i="4"/>
  <c r="U181" i="4"/>
  <c r="I183" i="4"/>
  <c r="K184" i="4"/>
  <c r="L187" i="4"/>
  <c r="M187" i="4"/>
  <c r="P187" i="4" s="1"/>
  <c r="N187" i="4"/>
  <c r="Q187" i="4"/>
  <c r="T187" i="4" s="1"/>
  <c r="R187" i="4"/>
  <c r="S187" i="4"/>
  <c r="O190" i="4"/>
  <c r="P190" i="4"/>
  <c r="T190" i="4"/>
  <c r="U190" i="4"/>
  <c r="L191" i="4"/>
  <c r="L189" i="4" s="1"/>
  <c r="M191" i="4"/>
  <c r="N191" i="4"/>
  <c r="Q191" i="4"/>
  <c r="Q189" i="4" s="1"/>
  <c r="R191" i="4"/>
  <c r="S191" i="4"/>
  <c r="S189" i="4" s="1"/>
  <c r="O193" i="4"/>
  <c r="P193" i="4"/>
  <c r="T193" i="4"/>
  <c r="U193" i="4"/>
  <c r="L194" i="4"/>
  <c r="L192" i="4" s="1"/>
  <c r="O192" i="4" s="1"/>
  <c r="M194" i="4"/>
  <c r="P194" i="4" s="1"/>
  <c r="N194" i="4"/>
  <c r="N192" i="4" s="1"/>
  <c r="Q194" i="4"/>
  <c r="T194" i="4" s="1"/>
  <c r="R194" i="4"/>
  <c r="S194" i="4"/>
  <c r="S192" i="4" s="1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K229" i="4" s="1"/>
  <c r="I230" i="4"/>
  <c r="N233" i="4"/>
  <c r="Q233" i="4"/>
  <c r="S233" i="4"/>
  <c r="N234" i="4"/>
  <c r="Q234" i="4"/>
  <c r="S234" i="4"/>
  <c r="N235" i="4"/>
  <c r="S235" i="4"/>
  <c r="N236" i="4"/>
  <c r="Q236" i="4"/>
  <c r="S236" i="4"/>
  <c r="J238" i="4"/>
  <c r="J240" i="4"/>
  <c r="J241" i="4"/>
  <c r="J242" i="4"/>
  <c r="N243" i="4"/>
  <c r="P243" i="4"/>
  <c r="S243" i="4"/>
  <c r="U243" i="4"/>
  <c r="L244" i="4"/>
  <c r="L245" i="4"/>
  <c r="L246" i="4"/>
  <c r="Q246" i="4"/>
  <c r="Q243" i="4" s="1"/>
  <c r="T243" i="4" s="1"/>
  <c r="L247" i="4"/>
  <c r="I249" i="4"/>
  <c r="I242" i="4" s="1"/>
  <c r="I251" i="4"/>
  <c r="I252" i="4"/>
  <c r="I241" i="4" s="1"/>
  <c r="K241" i="4" s="1"/>
  <c r="J253" i="4"/>
  <c r="J231" i="4" s="1"/>
  <c r="J185" i="4" s="1"/>
  <c r="N254" i="4"/>
  <c r="P254" i="4"/>
  <c r="Q254" i="4"/>
  <c r="T254" i="4" s="1"/>
  <c r="S254" i="4"/>
  <c r="U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P267" i="4" s="1"/>
  <c r="N267" i="4"/>
  <c r="O267" i="4"/>
  <c r="Q267" i="4"/>
  <c r="T267" i="4" s="1"/>
  <c r="R267" i="4"/>
  <c r="S267" i="4"/>
  <c r="U267" i="4"/>
  <c r="O270" i="4"/>
  <c r="P270" i="4"/>
  <c r="T270" i="4"/>
  <c r="U270" i="4"/>
  <c r="L271" i="4"/>
  <c r="M271" i="4"/>
  <c r="M269" i="4" s="1"/>
  <c r="N271" i="4"/>
  <c r="Q271" i="4"/>
  <c r="Q269" i="4" s="1"/>
  <c r="R271" i="4"/>
  <c r="R268" i="4" s="1"/>
  <c r="S271" i="4"/>
  <c r="S269" i="4" s="1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N274" i="4"/>
  <c r="N272" i="4" s="1"/>
  <c r="T274" i="4"/>
  <c r="U274" i="4"/>
  <c r="I276" i="4"/>
  <c r="I265" i="4" s="1"/>
  <c r="K265" i="4" s="1"/>
  <c r="J281" i="4"/>
  <c r="L283" i="4"/>
  <c r="M283" i="4"/>
  <c r="N283" i="4"/>
  <c r="O283" i="4"/>
  <c r="Q283" i="4"/>
  <c r="T283" i="4" s="1"/>
  <c r="R283" i="4"/>
  <c r="S283" i="4"/>
  <c r="U283" i="4"/>
  <c r="Q284" i="4"/>
  <c r="T284" i="4" s="1"/>
  <c r="R284" i="4"/>
  <c r="U284" i="4" s="1"/>
  <c r="S284" i="4"/>
  <c r="Q285" i="4"/>
  <c r="T285" i="4" s="1"/>
  <c r="R285" i="4"/>
  <c r="S285" i="4"/>
  <c r="U285" i="4"/>
  <c r="O286" i="4"/>
  <c r="P286" i="4"/>
  <c r="T286" i="4"/>
  <c r="U286" i="4"/>
  <c r="L287" i="4"/>
  <c r="M287" i="4"/>
  <c r="N287" i="4"/>
  <c r="T287" i="4"/>
  <c r="U287" i="4"/>
  <c r="Q288" i="4"/>
  <c r="R288" i="4"/>
  <c r="U288" i="4" s="1"/>
  <c r="S288" i="4"/>
  <c r="T288" i="4"/>
  <c r="O289" i="4"/>
  <c r="P289" i="4"/>
  <c r="T289" i="4"/>
  <c r="U289" i="4"/>
  <c r="L290" i="4"/>
  <c r="O290" i="4" s="1"/>
  <c r="M290" i="4"/>
  <c r="N290" i="4"/>
  <c r="N288" i="4" s="1"/>
  <c r="T290" i="4"/>
  <c r="U290" i="4"/>
  <c r="I292" i="4"/>
  <c r="I281" i="4" s="1"/>
  <c r="I293" i="4"/>
  <c r="I280" i="4" s="1"/>
  <c r="K280" i="4" s="1"/>
  <c r="J293" i="4"/>
  <c r="J280" i="4" s="1"/>
  <c r="I295" i="4"/>
  <c r="K295" i="4" s="1"/>
  <c r="I296" i="4"/>
  <c r="K296" i="4" s="1"/>
  <c r="I298" i="4"/>
  <c r="K298" i="4" s="1"/>
  <c r="I299" i="4"/>
  <c r="K299" i="4" s="1"/>
  <c r="J302" i="4"/>
  <c r="L304" i="4"/>
  <c r="M304" i="4"/>
  <c r="N304" i="4"/>
  <c r="O304" i="4"/>
  <c r="Q304" i="4"/>
  <c r="R304" i="4"/>
  <c r="S304" i="4"/>
  <c r="T304" i="4"/>
  <c r="U304" i="4"/>
  <c r="O307" i="4"/>
  <c r="P307" i="4"/>
  <c r="T307" i="4"/>
  <c r="U307" i="4"/>
  <c r="L308" i="4"/>
  <c r="M308" i="4"/>
  <c r="M306" i="4" s="1"/>
  <c r="N308" i="4"/>
  <c r="Q308" i="4"/>
  <c r="Q306" i="4" s="1"/>
  <c r="R308" i="4"/>
  <c r="R305" i="4" s="1"/>
  <c r="S308" i="4"/>
  <c r="S305" i="4" s="1"/>
  <c r="S303" i="4" s="1"/>
  <c r="Q309" i="4"/>
  <c r="T309" i="4" s="1"/>
  <c r="R309" i="4"/>
  <c r="U309" i="4" s="1"/>
  <c r="S309" i="4"/>
  <c r="O310" i="4"/>
  <c r="P310" i="4"/>
  <c r="T310" i="4"/>
  <c r="U310" i="4"/>
  <c r="L311" i="4"/>
  <c r="L309" i="4" s="1"/>
  <c r="O309" i="4" s="1"/>
  <c r="M311" i="4"/>
  <c r="N311" i="4"/>
  <c r="N309" i="4" s="1"/>
  <c r="T311" i="4"/>
  <c r="U311" i="4"/>
  <c r="I314" i="4"/>
  <c r="J319" i="4"/>
  <c r="L321" i="4"/>
  <c r="O321" i="4" s="1"/>
  <c r="M321" i="4"/>
  <c r="P321" i="4" s="1"/>
  <c r="N321" i="4"/>
  <c r="Q321" i="4"/>
  <c r="T321" i="4" s="1"/>
  <c r="R321" i="4"/>
  <c r="S321" i="4"/>
  <c r="S320" i="4" s="1"/>
  <c r="Q322" i="4"/>
  <c r="T322" i="4" s="1"/>
  <c r="R322" i="4"/>
  <c r="U322" i="4" s="1"/>
  <c r="S322" i="4"/>
  <c r="Q323" i="4"/>
  <c r="R323" i="4"/>
  <c r="U323" i="4" s="1"/>
  <c r="S323" i="4"/>
  <c r="T323" i="4"/>
  <c r="O324" i="4"/>
  <c r="P324" i="4"/>
  <c r="T324" i="4"/>
  <c r="U324" i="4"/>
  <c r="L325" i="4"/>
  <c r="M325" i="4"/>
  <c r="N325" i="4"/>
  <c r="N323" i="4" s="1"/>
  <c r="T325" i="4"/>
  <c r="U325" i="4"/>
  <c r="Q326" i="4"/>
  <c r="T326" i="4" s="1"/>
  <c r="R326" i="4"/>
  <c r="S326" i="4"/>
  <c r="U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I319" i="4" s="1"/>
  <c r="K319" i="4" s="1"/>
  <c r="I332" i="4"/>
  <c r="S333" i="4"/>
  <c r="L334" i="4"/>
  <c r="M334" i="4"/>
  <c r="N334" i="4"/>
  <c r="O334" i="4"/>
  <c r="P334" i="4"/>
  <c r="Q334" i="4"/>
  <c r="T334" i="4" s="1"/>
  <c r="R334" i="4"/>
  <c r="S334" i="4"/>
  <c r="U334" i="4"/>
  <c r="Q335" i="4"/>
  <c r="R335" i="4"/>
  <c r="U335" i="4" s="1"/>
  <c r="S335" i="4"/>
  <c r="Q336" i="4"/>
  <c r="T336" i="4" s="1"/>
  <c r="R336" i="4"/>
  <c r="U336" i="4" s="1"/>
  <c r="S336" i="4"/>
  <c r="O337" i="4"/>
  <c r="P337" i="4"/>
  <c r="T337" i="4"/>
  <c r="U337" i="4"/>
  <c r="L338" i="4"/>
  <c r="M338" i="4"/>
  <c r="N338" i="4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L339" i="4" s="1"/>
  <c r="O339" i="4" s="1"/>
  <c r="M341" i="4"/>
  <c r="M339" i="4" s="1"/>
  <c r="P339" i="4" s="1"/>
  <c r="N341" i="4"/>
  <c r="N339" i="4" s="1"/>
  <c r="T341" i="4"/>
  <c r="U341" i="4"/>
  <c r="J344" i="4"/>
  <c r="K344" i="4"/>
  <c r="I346" i="4"/>
  <c r="J346" i="4"/>
  <c r="J347" i="4"/>
  <c r="J348" i="4"/>
  <c r="J349" i="4"/>
  <c r="D350" i="4"/>
  <c r="J352" i="4"/>
  <c r="J353" i="4"/>
  <c r="J354" i="4"/>
  <c r="S356" i="4"/>
  <c r="L357" i="4"/>
  <c r="M357" i="4"/>
  <c r="P357" i="4" s="1"/>
  <c r="N357" i="4"/>
  <c r="O357" i="4"/>
  <c r="Q357" i="4"/>
  <c r="T357" i="4" s="1"/>
  <c r="R357" i="4"/>
  <c r="S357" i="4"/>
  <c r="Q358" i="4"/>
  <c r="T358" i="4" s="1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M361" i="4"/>
  <c r="M359" i="4" s="1"/>
  <c r="N361" i="4"/>
  <c r="N359" i="4" s="1"/>
  <c r="T361" i="4"/>
  <c r="U361" i="4"/>
  <c r="Q362" i="4"/>
  <c r="R362" i="4"/>
  <c r="S362" i="4"/>
  <c r="T362" i="4"/>
  <c r="U362" i="4"/>
  <c r="O363" i="4"/>
  <c r="P363" i="4"/>
  <c r="T363" i="4"/>
  <c r="U363" i="4"/>
  <c r="L364" i="4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N376" i="4"/>
  <c r="O376" i="4"/>
  <c r="P376" i="4"/>
  <c r="Q376" i="4"/>
  <c r="R376" i="4"/>
  <c r="S376" i="4"/>
  <c r="U376" i="4"/>
  <c r="O379" i="4"/>
  <c r="P379" i="4"/>
  <c r="T379" i="4"/>
  <c r="U379" i="4"/>
  <c r="L380" i="4"/>
  <c r="M380" i="4"/>
  <c r="N380" i="4"/>
  <c r="Q380" i="4"/>
  <c r="Q377" i="4" s="1"/>
  <c r="R380" i="4"/>
  <c r="R377" i="4" s="1"/>
  <c r="S380" i="4"/>
  <c r="S378" i="4" s="1"/>
  <c r="Q381" i="4"/>
  <c r="R381" i="4"/>
  <c r="S381" i="4"/>
  <c r="T381" i="4"/>
  <c r="U381" i="4"/>
  <c r="O382" i="4"/>
  <c r="P382" i="4"/>
  <c r="T382" i="4"/>
  <c r="U382" i="4"/>
  <c r="L383" i="4"/>
  <c r="M383" i="4"/>
  <c r="P383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M393" i="4"/>
  <c r="N393" i="4"/>
  <c r="Q393" i="4"/>
  <c r="T393" i="4" s="1"/>
  <c r="R393" i="4"/>
  <c r="S393" i="4"/>
  <c r="L394" i="4"/>
  <c r="M394" i="4"/>
  <c r="P394" i="4" s="1"/>
  <c r="N394" i="4"/>
  <c r="O394" i="4"/>
  <c r="L395" i="4"/>
  <c r="M395" i="4"/>
  <c r="N395" i="4"/>
  <c r="O395" i="4"/>
  <c r="P395" i="4"/>
  <c r="O396" i="4"/>
  <c r="P396" i="4"/>
  <c r="T396" i="4"/>
  <c r="U396" i="4"/>
  <c r="O397" i="4"/>
  <c r="P397" i="4"/>
  <c r="Q397" i="4"/>
  <c r="Q395" i="4" s="1"/>
  <c r="T395" i="4" s="1"/>
  <c r="R397" i="4"/>
  <c r="S397" i="4"/>
  <c r="S395" i="4" s="1"/>
  <c r="L398" i="4"/>
  <c r="O398" i="4" s="1"/>
  <c r="M398" i="4"/>
  <c r="P398" i="4" s="1"/>
  <c r="N398" i="4"/>
  <c r="Q398" i="4"/>
  <c r="R398" i="4"/>
  <c r="U398" i="4" s="1"/>
  <c r="S398" i="4"/>
  <c r="T398" i="4"/>
  <c r="O399" i="4"/>
  <c r="P399" i="4"/>
  <c r="T399" i="4"/>
  <c r="U399" i="4"/>
  <c r="O400" i="4"/>
  <c r="P400" i="4"/>
  <c r="T400" i="4"/>
  <c r="U400" i="4"/>
  <c r="L414" i="4"/>
  <c r="M414" i="4"/>
  <c r="N414" i="4"/>
  <c r="Q414" i="4"/>
  <c r="R414" i="4"/>
  <c r="U414" i="4" s="1"/>
  <c r="S414" i="4"/>
  <c r="O417" i="4"/>
  <c r="P417" i="4"/>
  <c r="T417" i="4"/>
  <c r="U417" i="4"/>
  <c r="L418" i="4"/>
  <c r="M418" i="4"/>
  <c r="M416" i="4" s="1"/>
  <c r="N418" i="4"/>
  <c r="N416" i="4" s="1"/>
  <c r="Q418" i="4"/>
  <c r="Q415" i="4" s="1"/>
  <c r="R418" i="4"/>
  <c r="R415" i="4" s="1"/>
  <c r="S418" i="4"/>
  <c r="S416" i="4" s="1"/>
  <c r="Q419" i="4"/>
  <c r="T419" i="4" s="1"/>
  <c r="R419" i="4"/>
  <c r="U419" i="4" s="1"/>
  <c r="S419" i="4"/>
  <c r="O420" i="4"/>
  <c r="P420" i="4"/>
  <c r="T420" i="4"/>
  <c r="U420" i="4"/>
  <c r="L421" i="4"/>
  <c r="O421" i="4" s="1"/>
  <c r="M421" i="4"/>
  <c r="M419" i="4" s="1"/>
  <c r="P419" i="4" s="1"/>
  <c r="N421" i="4"/>
  <c r="N419" i="4" s="1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K440" i="4" s="1"/>
  <c r="J440" i="4"/>
  <c r="J423" i="4" s="1"/>
  <c r="J412" i="4" s="1"/>
  <c r="I441" i="4"/>
  <c r="K441" i="4" s="1"/>
  <c r="J446" i="4"/>
  <c r="J447" i="4"/>
  <c r="J441" i="4" s="1"/>
  <c r="I457" i="4"/>
  <c r="I456" i="4" s="1"/>
  <c r="I458" i="4"/>
  <c r="J458" i="4"/>
  <c r="J459" i="4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O494" i="4" s="1"/>
  <c r="M494" i="4"/>
  <c r="N494" i="4"/>
  <c r="P494" i="4"/>
  <c r="Q494" i="4"/>
  <c r="T494" i="4" s="1"/>
  <c r="R494" i="4"/>
  <c r="U494" i="4" s="1"/>
  <c r="S494" i="4"/>
  <c r="O497" i="4"/>
  <c r="P497" i="4"/>
  <c r="T497" i="4"/>
  <c r="U497" i="4"/>
  <c r="L498" i="4"/>
  <c r="L496" i="4" s="1"/>
  <c r="O496" i="4" s="1"/>
  <c r="M498" i="4"/>
  <c r="P498" i="4" s="1"/>
  <c r="N498" i="4"/>
  <c r="Q498" i="4"/>
  <c r="Q495" i="4" s="1"/>
  <c r="T495" i="4" s="1"/>
  <c r="R498" i="4"/>
  <c r="R496" i="4" s="1"/>
  <c r="U496" i="4" s="1"/>
  <c r="S498" i="4"/>
  <c r="S495" i="4" s="1"/>
  <c r="Q499" i="4"/>
  <c r="T499" i="4" s="1"/>
  <c r="R499" i="4"/>
  <c r="U499" i="4" s="1"/>
  <c r="S499" i="4"/>
  <c r="O500" i="4"/>
  <c r="P500" i="4"/>
  <c r="T500" i="4"/>
  <c r="U500" i="4"/>
  <c r="L501" i="4"/>
  <c r="L499" i="4" s="1"/>
  <c r="O499" i="4" s="1"/>
  <c r="M501" i="4"/>
  <c r="P501" i="4" s="1"/>
  <c r="N501" i="4"/>
  <c r="N499" i="4" s="1"/>
  <c r="T501" i="4"/>
  <c r="U501" i="4"/>
  <c r="I503" i="4"/>
  <c r="K503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O514" i="4" s="1"/>
  <c r="M514" i="4"/>
  <c r="P514" i="4" s="1"/>
  <c r="N514" i="4"/>
  <c r="Q514" i="4"/>
  <c r="R514" i="4"/>
  <c r="R513" i="4" s="1"/>
  <c r="U513" i="4" s="1"/>
  <c r="S514" i="4"/>
  <c r="U514" i="4"/>
  <c r="Q515" i="4"/>
  <c r="T515" i="4" s="1"/>
  <c r="R515" i="4"/>
  <c r="S515" i="4"/>
  <c r="U515" i="4"/>
  <c r="Q516" i="4"/>
  <c r="T516" i="4" s="1"/>
  <c r="R516" i="4"/>
  <c r="U516" i="4" s="1"/>
  <c r="S516" i="4"/>
  <c r="O517" i="4"/>
  <c r="P517" i="4"/>
  <c r="T517" i="4"/>
  <c r="U517" i="4"/>
  <c r="L518" i="4"/>
  <c r="M518" i="4"/>
  <c r="N518" i="4"/>
  <c r="N516" i="4" s="1"/>
  <c r="T518" i="4"/>
  <c r="U518" i="4"/>
  <c r="Q519" i="4"/>
  <c r="T519" i="4" s="1"/>
  <c r="R519" i="4"/>
  <c r="S519" i="4"/>
  <c r="U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L535" i="4"/>
  <c r="M535" i="4"/>
  <c r="N535" i="4"/>
  <c r="P535" i="4"/>
  <c r="Q535" i="4"/>
  <c r="Q534" i="4" s="1"/>
  <c r="T534" i="4" s="1"/>
  <c r="R535" i="4"/>
  <c r="S535" i="4"/>
  <c r="Q536" i="4"/>
  <c r="T536" i="4" s="1"/>
  <c r="R536" i="4"/>
  <c r="U536" i="4" s="1"/>
  <c r="S536" i="4"/>
  <c r="S534" i="4" s="1"/>
  <c r="Q537" i="4"/>
  <c r="T537" i="4" s="1"/>
  <c r="R537" i="4"/>
  <c r="U537" i="4" s="1"/>
  <c r="S537" i="4"/>
  <c r="O538" i="4"/>
  <c r="P538" i="4"/>
  <c r="T538" i="4"/>
  <c r="U538" i="4"/>
  <c r="L539" i="4"/>
  <c r="O539" i="4" s="1"/>
  <c r="M539" i="4"/>
  <c r="M537" i="4" s="1"/>
  <c r="P537" i="4" s="1"/>
  <c r="N539" i="4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L540" i="4" s="1"/>
  <c r="O540" i="4" s="1"/>
  <c r="M542" i="4"/>
  <c r="M540" i="4" s="1"/>
  <c r="P540" i="4" s="1"/>
  <c r="N542" i="4"/>
  <c r="N540" i="4" s="1"/>
  <c r="T542" i="4"/>
  <c r="U542" i="4"/>
  <c r="I554" i="4"/>
  <c r="J554" i="4"/>
  <c r="K554" i="4"/>
  <c r="L556" i="4"/>
  <c r="M556" i="4"/>
  <c r="P556" i="4" s="1"/>
  <c r="N556" i="4"/>
  <c r="O556" i="4"/>
  <c r="Q556" i="4"/>
  <c r="T556" i="4" s="1"/>
  <c r="R556" i="4"/>
  <c r="U556" i="4" s="1"/>
  <c r="S556" i="4"/>
  <c r="S555" i="4" s="1"/>
  <c r="Q557" i="4"/>
  <c r="T557" i="4" s="1"/>
  <c r="R557" i="4"/>
  <c r="U557" i="4" s="1"/>
  <c r="S557" i="4"/>
  <c r="Q558" i="4"/>
  <c r="T558" i="4" s="1"/>
  <c r="R558" i="4"/>
  <c r="U558" i="4" s="1"/>
  <c r="S558" i="4"/>
  <c r="O559" i="4"/>
  <c r="P559" i="4"/>
  <c r="T559" i="4"/>
  <c r="U559" i="4"/>
  <c r="L560" i="4"/>
  <c r="O560" i="4" s="1"/>
  <c r="M560" i="4"/>
  <c r="M558" i="4" s="1"/>
  <c r="P558" i="4" s="1"/>
  <c r="N560" i="4"/>
  <c r="N558" i="4" s="1"/>
  <c r="T560" i="4"/>
  <c r="U560" i="4"/>
  <c r="Q561" i="4"/>
  <c r="R561" i="4"/>
  <c r="S561" i="4"/>
  <c r="T561" i="4"/>
  <c r="U561" i="4"/>
  <c r="O562" i="4"/>
  <c r="P562" i="4"/>
  <c r="T562" i="4"/>
  <c r="U562" i="4"/>
  <c r="L563" i="4"/>
  <c r="O563" i="4" s="1"/>
  <c r="M563" i="4"/>
  <c r="P563" i="4" s="1"/>
  <c r="N563" i="4"/>
  <c r="N561" i="4" s="1"/>
  <c r="T563" i="4"/>
  <c r="U563" i="4"/>
  <c r="I575" i="4"/>
  <c r="K575" i="4" s="1"/>
  <c r="J575" i="4"/>
  <c r="L577" i="4"/>
  <c r="M577" i="4"/>
  <c r="N577" i="4"/>
  <c r="O577" i="4"/>
  <c r="P577" i="4"/>
  <c r="Q577" i="4"/>
  <c r="T577" i="4" s="1"/>
  <c r="R577" i="4"/>
  <c r="S577" i="4"/>
  <c r="U577" i="4"/>
  <c r="Q578" i="4"/>
  <c r="T578" i="4" s="1"/>
  <c r="R578" i="4"/>
  <c r="U578" i="4" s="1"/>
  <c r="S578" i="4"/>
  <c r="S576" i="4" s="1"/>
  <c r="Q579" i="4"/>
  <c r="T579" i="4" s="1"/>
  <c r="R579" i="4"/>
  <c r="U579" i="4" s="1"/>
  <c r="S579" i="4"/>
  <c r="O580" i="4"/>
  <c r="P580" i="4"/>
  <c r="T580" i="4"/>
  <c r="U580" i="4"/>
  <c r="L581" i="4"/>
  <c r="O581" i="4" s="1"/>
  <c r="M581" i="4"/>
  <c r="N581" i="4"/>
  <c r="T581" i="4"/>
  <c r="U581" i="4"/>
  <c r="Q582" i="4"/>
  <c r="T582" i="4" s="1"/>
  <c r="R582" i="4"/>
  <c r="U582" i="4" s="1"/>
  <c r="S582" i="4"/>
  <c r="O583" i="4"/>
  <c r="P583" i="4"/>
  <c r="T583" i="4"/>
  <c r="U583" i="4"/>
  <c r="L584" i="4"/>
  <c r="O584" i="4" s="1"/>
  <c r="M584" i="4"/>
  <c r="M582" i="4" s="1"/>
  <c r="P582" i="4" s="1"/>
  <c r="N584" i="4"/>
  <c r="N582" i="4" s="1"/>
  <c r="T584" i="4"/>
  <c r="U584" i="4"/>
  <c r="L600" i="4"/>
  <c r="O600" i="4" s="1"/>
  <c r="M600" i="4"/>
  <c r="N600" i="4"/>
  <c r="Q600" i="4"/>
  <c r="R600" i="4"/>
  <c r="S600" i="4"/>
  <c r="T600" i="4"/>
  <c r="U600" i="4"/>
  <c r="O603" i="4"/>
  <c r="P603" i="4"/>
  <c r="T603" i="4"/>
  <c r="U603" i="4"/>
  <c r="L604" i="4"/>
  <c r="M604" i="4"/>
  <c r="N604" i="4"/>
  <c r="Q604" i="4"/>
  <c r="R604" i="4"/>
  <c r="S604" i="4"/>
  <c r="O606" i="4"/>
  <c r="P606" i="4"/>
  <c r="T606" i="4"/>
  <c r="U606" i="4"/>
  <c r="L607" i="4"/>
  <c r="M607" i="4"/>
  <c r="M605" i="4" s="1"/>
  <c r="P605" i="4" s="1"/>
  <c r="N607" i="4"/>
  <c r="N605" i="4" s="1"/>
  <c r="Q607" i="4"/>
  <c r="T607" i="4" s="1"/>
  <c r="R607" i="4"/>
  <c r="U607" i="4" s="1"/>
  <c r="S607" i="4"/>
  <c r="S605" i="4" s="1"/>
  <c r="L617" i="4"/>
  <c r="M617" i="4"/>
  <c r="N617" i="4"/>
  <c r="N616" i="4" s="1"/>
  <c r="P617" i="4"/>
  <c r="Q617" i="4"/>
  <c r="R617" i="4"/>
  <c r="S617" i="4"/>
  <c r="L618" i="4"/>
  <c r="O618" i="4" s="1"/>
  <c r="M618" i="4"/>
  <c r="P618" i="4" s="1"/>
  <c r="N618" i="4"/>
  <c r="L619" i="4"/>
  <c r="M619" i="4"/>
  <c r="N619" i="4"/>
  <c r="O619" i="4"/>
  <c r="P619" i="4"/>
  <c r="O620" i="4"/>
  <c r="P620" i="4"/>
  <c r="T620" i="4"/>
  <c r="U620" i="4"/>
  <c r="O621" i="4"/>
  <c r="P621" i="4"/>
  <c r="Q621" i="4"/>
  <c r="Q619" i="4" s="1"/>
  <c r="R621" i="4"/>
  <c r="R619" i="4" s="1"/>
  <c r="S621" i="4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I615" i="4" s="1"/>
  <c r="K615" i="4" s="1"/>
  <c r="I627" i="4"/>
  <c r="K627" i="4" s="1"/>
  <c r="I628" i="4"/>
  <c r="K628" i="4" s="1"/>
  <c r="J632" i="4"/>
  <c r="J626" i="4" s="1"/>
  <c r="J615" i="4" s="1"/>
  <c r="I635" i="4"/>
  <c r="K635" i="4" s="1"/>
  <c r="J635" i="4"/>
  <c r="J636" i="4"/>
  <c r="L643" i="4"/>
  <c r="O643" i="4" s="1"/>
  <c r="M643" i="4"/>
  <c r="N643" i="4"/>
  <c r="N642" i="4" s="1"/>
  <c r="Q643" i="4"/>
  <c r="R643" i="4"/>
  <c r="U643" i="4" s="1"/>
  <c r="S643" i="4"/>
  <c r="L644" i="4"/>
  <c r="O644" i="4" s="1"/>
  <c r="M644" i="4"/>
  <c r="P644" i="4" s="1"/>
  <c r="N644" i="4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Q645" i="4" s="1"/>
  <c r="R647" i="4"/>
  <c r="S647" i="4"/>
  <c r="S644" i="4" s="1"/>
  <c r="L648" i="4"/>
  <c r="O648" i="4" s="1"/>
  <c r="M648" i="4"/>
  <c r="N648" i="4"/>
  <c r="P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M690" i="4"/>
  <c r="P690" i="4" s="1"/>
  <c r="L691" i="4"/>
  <c r="M691" i="4"/>
  <c r="P691" i="4" s="1"/>
  <c r="N691" i="4"/>
  <c r="O691" i="4"/>
  <c r="Q691" i="4"/>
  <c r="R691" i="4"/>
  <c r="S691" i="4"/>
  <c r="U691" i="4"/>
  <c r="L692" i="4"/>
  <c r="O692" i="4" s="1"/>
  <c r="M692" i="4"/>
  <c r="P692" i="4" s="1"/>
  <c r="N692" i="4"/>
  <c r="N690" i="4" s="1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R695" i="4"/>
  <c r="S695" i="4"/>
  <c r="S692" i="4" s="1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L714" i="4" s="1"/>
  <c r="O714" i="4" s="1"/>
  <c r="M715" i="4"/>
  <c r="M714" i="4" s="1"/>
  <c r="P714" i="4" s="1"/>
  <c r="N715" i="4"/>
  <c r="Q715" i="4"/>
  <c r="Q714" i="4" s="1"/>
  <c r="T714" i="4" s="1"/>
  <c r="R715" i="4"/>
  <c r="U715" i="4" s="1"/>
  <c r="S715" i="4"/>
  <c r="S714" i="4" s="1"/>
  <c r="T715" i="4"/>
  <c r="L716" i="4"/>
  <c r="M716" i="4"/>
  <c r="N716" i="4"/>
  <c r="O716" i="4"/>
  <c r="P716" i="4"/>
  <c r="Q716" i="4"/>
  <c r="T716" i="4" s="1"/>
  <c r="R716" i="4"/>
  <c r="S716" i="4"/>
  <c r="U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L728" i="4" s="1"/>
  <c r="O728" i="4" s="1"/>
  <c r="M729" i="4"/>
  <c r="M728" i="4" s="1"/>
  <c r="P728" i="4" s="1"/>
  <c r="N729" i="4"/>
  <c r="Q729" i="4"/>
  <c r="R729" i="4"/>
  <c r="S729" i="4"/>
  <c r="T729" i="4"/>
  <c r="L730" i="4"/>
  <c r="M730" i="4"/>
  <c r="N730" i="4"/>
  <c r="O730" i="4"/>
  <c r="P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0" i="4" s="1"/>
  <c r="R733" i="4"/>
  <c r="R730" i="4" s="1"/>
  <c r="S733" i="4"/>
  <c r="L734" i="4"/>
  <c r="O734" i="4" s="1"/>
  <c r="M734" i="4"/>
  <c r="P734" i="4" s="1"/>
  <c r="N734" i="4"/>
  <c r="Q734" i="4"/>
  <c r="R734" i="4"/>
  <c r="U734" i="4" s="1"/>
  <c r="S734" i="4"/>
  <c r="T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L760" i="4" s="1"/>
  <c r="O760" i="4" s="1"/>
  <c r="M761" i="4"/>
  <c r="M760" i="4" s="1"/>
  <c r="P760" i="4" s="1"/>
  <c r="N761" i="4"/>
  <c r="Q761" i="4"/>
  <c r="R761" i="4"/>
  <c r="U761" i="4" s="1"/>
  <c r="S761" i="4"/>
  <c r="T761" i="4"/>
  <c r="L762" i="4"/>
  <c r="O762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L766" i="4"/>
  <c r="O766" i="4" s="1"/>
  <c r="M766" i="4"/>
  <c r="N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K772" i="4" s="1"/>
  <c r="I774" i="4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O65" i="17" l="1"/>
  <c r="M381" i="18"/>
  <c r="P381" i="18" s="1"/>
  <c r="U647" i="18"/>
  <c r="L362" i="18"/>
  <c r="O362" i="18" s="1"/>
  <c r="L234" i="18"/>
  <c r="J351" i="17"/>
  <c r="L236" i="18"/>
  <c r="K626" i="18"/>
  <c r="R602" i="18"/>
  <c r="U602" i="18" s="1"/>
  <c r="K631" i="18"/>
  <c r="L268" i="18"/>
  <c r="L266" i="18" s="1"/>
  <c r="Q731" i="17"/>
  <c r="T731" i="17" s="1"/>
  <c r="O52" i="17"/>
  <c r="K630" i="18"/>
  <c r="L415" i="18"/>
  <c r="L413" i="18" s="1"/>
  <c r="K629" i="18"/>
  <c r="T162" i="18"/>
  <c r="P287" i="16"/>
  <c r="U78" i="16"/>
  <c r="K785" i="17"/>
  <c r="I701" i="17"/>
  <c r="J702" i="18"/>
  <c r="T397" i="18"/>
  <c r="L46" i="18"/>
  <c r="L44" i="18" s="1"/>
  <c r="T78" i="16"/>
  <c r="L601" i="17"/>
  <c r="L599" i="17" s="1"/>
  <c r="P125" i="18"/>
  <c r="M119" i="18"/>
  <c r="P119" i="18" s="1"/>
  <c r="J675" i="18"/>
  <c r="K675" i="18" s="1"/>
  <c r="M377" i="18"/>
  <c r="P377" i="18" s="1"/>
  <c r="M378" i="18"/>
  <c r="P378" i="18" s="1"/>
  <c r="K198" i="17"/>
  <c r="K183" i="17"/>
  <c r="P178" i="17"/>
  <c r="O67" i="17"/>
  <c r="P602" i="18"/>
  <c r="K368" i="18"/>
  <c r="Q188" i="18"/>
  <c r="Q186" i="18" s="1"/>
  <c r="S176" i="18"/>
  <c r="I92" i="18"/>
  <c r="K92" i="18" s="1"/>
  <c r="I83" i="18"/>
  <c r="I71" i="18" s="1"/>
  <c r="K71" i="18" s="1"/>
  <c r="O65" i="18"/>
  <c r="P47" i="16"/>
  <c r="K632" i="17"/>
  <c r="J701" i="18"/>
  <c r="J343" i="18"/>
  <c r="M179" i="18"/>
  <c r="P179" i="18" s="1"/>
  <c r="S762" i="18"/>
  <c r="S760" i="18" s="1"/>
  <c r="N268" i="16"/>
  <c r="N266" i="16" s="1"/>
  <c r="O47" i="16"/>
  <c r="L74" i="17"/>
  <c r="O74" i="17" s="1"/>
  <c r="T607" i="18"/>
  <c r="Q394" i="18"/>
  <c r="T394" i="18" s="1"/>
  <c r="I374" i="18"/>
  <c r="K369" i="18"/>
  <c r="P290" i="18"/>
  <c r="L222" i="18"/>
  <c r="O222" i="18" s="1"/>
  <c r="K154" i="18"/>
  <c r="L50" i="18"/>
  <c r="O50" i="18" s="1"/>
  <c r="T607" i="15"/>
  <c r="K276" i="17"/>
  <c r="I202" i="17"/>
  <c r="K152" i="17"/>
  <c r="K727" i="18"/>
  <c r="P380" i="18"/>
  <c r="U730" i="18"/>
  <c r="O542" i="18"/>
  <c r="U397" i="18"/>
  <c r="T194" i="18"/>
  <c r="N284" i="18"/>
  <c r="N282" i="18" s="1"/>
  <c r="P162" i="14"/>
  <c r="K707" i="16"/>
  <c r="K781" i="17"/>
  <c r="Q763" i="17"/>
  <c r="P49" i="17"/>
  <c r="K772" i="18"/>
  <c r="K676" i="18"/>
  <c r="Q618" i="18"/>
  <c r="Q616" i="18" s="1"/>
  <c r="M601" i="18"/>
  <c r="M599" i="18" s="1"/>
  <c r="L601" i="18"/>
  <c r="L599" i="18" s="1"/>
  <c r="M578" i="18"/>
  <c r="M576" i="18" s="1"/>
  <c r="P576" i="18" s="1"/>
  <c r="N415" i="18"/>
  <c r="N413" i="18" s="1"/>
  <c r="S375" i="18"/>
  <c r="N159" i="18"/>
  <c r="N157" i="18" s="1"/>
  <c r="P122" i="18"/>
  <c r="K109" i="18"/>
  <c r="P102" i="18"/>
  <c r="I137" i="18"/>
  <c r="K137" i="18" s="1"/>
  <c r="K783" i="17"/>
  <c r="O563" i="17"/>
  <c r="L214" i="17"/>
  <c r="O214" i="17" s="1"/>
  <c r="S141" i="17"/>
  <c r="S139" i="17" s="1"/>
  <c r="R731" i="18"/>
  <c r="U695" i="18"/>
  <c r="K679" i="18"/>
  <c r="S305" i="18"/>
  <c r="S303" i="18" s="1"/>
  <c r="L214" i="18"/>
  <c r="O214" i="18" s="1"/>
  <c r="I213" i="18"/>
  <c r="K213" i="18" s="1"/>
  <c r="P160" i="18"/>
  <c r="O67" i="18"/>
  <c r="Q762" i="18"/>
  <c r="M120" i="18"/>
  <c r="P120" i="18" s="1"/>
  <c r="K709" i="16"/>
  <c r="L46" i="17"/>
  <c r="L44" i="17" s="1"/>
  <c r="K783" i="18"/>
  <c r="K780" i="18"/>
  <c r="P604" i="18"/>
  <c r="K432" i="18"/>
  <c r="R394" i="18"/>
  <c r="U394" i="18" s="1"/>
  <c r="K371" i="18"/>
  <c r="P341" i="18"/>
  <c r="P144" i="18"/>
  <c r="L47" i="18"/>
  <c r="O47" i="18" s="1"/>
  <c r="K678" i="15"/>
  <c r="J674" i="17"/>
  <c r="K674" i="17" s="1"/>
  <c r="K629" i="17"/>
  <c r="L235" i="17"/>
  <c r="T191" i="17"/>
  <c r="K673" i="18"/>
  <c r="P607" i="18"/>
  <c r="K485" i="18"/>
  <c r="K458" i="18"/>
  <c r="S395" i="18"/>
  <c r="O383" i="18"/>
  <c r="N335" i="18"/>
  <c r="N333" i="18" s="1"/>
  <c r="K330" i="18"/>
  <c r="L272" i="18"/>
  <c r="O272" i="18" s="1"/>
  <c r="U194" i="18"/>
  <c r="R173" i="18"/>
  <c r="U173" i="18" s="1"/>
  <c r="U144" i="18"/>
  <c r="S97" i="18"/>
  <c r="T77" i="18"/>
  <c r="L74" i="18"/>
  <c r="L72" i="18" s="1"/>
  <c r="K779" i="17"/>
  <c r="K673" i="17"/>
  <c r="T647" i="17"/>
  <c r="L536" i="17"/>
  <c r="L534" i="17" s="1"/>
  <c r="O534" i="17" s="1"/>
  <c r="L377" i="17"/>
  <c r="L375" i="17" s="1"/>
  <c r="M358" i="17"/>
  <c r="P99" i="17"/>
  <c r="K784" i="18"/>
  <c r="K781" i="18"/>
  <c r="K778" i="18"/>
  <c r="S645" i="18"/>
  <c r="S644" i="18"/>
  <c r="U644" i="18" s="1"/>
  <c r="L519" i="18"/>
  <c r="O519" i="18" s="1"/>
  <c r="O521" i="18"/>
  <c r="S392" i="18"/>
  <c r="M362" i="18"/>
  <c r="P362" i="18" s="1"/>
  <c r="P364" i="18"/>
  <c r="L339" i="18"/>
  <c r="O339" i="18" s="1"/>
  <c r="O341" i="18"/>
  <c r="L326" i="18"/>
  <c r="O326" i="18" s="1"/>
  <c r="O328" i="18"/>
  <c r="R305" i="18"/>
  <c r="R306" i="18"/>
  <c r="U306" i="18" s="1"/>
  <c r="U308" i="18"/>
  <c r="N285" i="18"/>
  <c r="I195" i="18"/>
  <c r="K195" i="18" s="1"/>
  <c r="K198" i="18"/>
  <c r="L192" i="18"/>
  <c r="O192" i="18" s="1"/>
  <c r="O194" i="18"/>
  <c r="L142" i="18"/>
  <c r="O142" i="18" s="1"/>
  <c r="O144" i="18"/>
  <c r="U122" i="18"/>
  <c r="S618" i="17"/>
  <c r="S616" i="17" s="1"/>
  <c r="P581" i="17"/>
  <c r="L540" i="17"/>
  <c r="O540" i="17" s="1"/>
  <c r="P498" i="17"/>
  <c r="Q416" i="17"/>
  <c r="T416" i="17" s="1"/>
  <c r="I138" i="17"/>
  <c r="K138" i="17" s="1"/>
  <c r="K758" i="18"/>
  <c r="Q760" i="18"/>
  <c r="R728" i="18"/>
  <c r="U728" i="18" s="1"/>
  <c r="N536" i="18"/>
  <c r="N534" i="18" s="1"/>
  <c r="M499" i="18"/>
  <c r="P499" i="18" s="1"/>
  <c r="U393" i="18"/>
  <c r="Q333" i="18"/>
  <c r="T333" i="18" s="1"/>
  <c r="Q306" i="18"/>
  <c r="T306" i="18" s="1"/>
  <c r="T308" i="18"/>
  <c r="Q305" i="18"/>
  <c r="Q303" i="18" s="1"/>
  <c r="I156" i="18"/>
  <c r="K156" i="18" s="1"/>
  <c r="I168" i="18"/>
  <c r="K168" i="18" s="1"/>
  <c r="I169" i="18"/>
  <c r="K169" i="18" s="1"/>
  <c r="M75" i="18"/>
  <c r="P75" i="18" s="1"/>
  <c r="P77" i="18"/>
  <c r="R19" i="18"/>
  <c r="U22" i="18"/>
  <c r="K774" i="15"/>
  <c r="T147" i="16"/>
  <c r="S763" i="17"/>
  <c r="U763" i="17" s="1"/>
  <c r="K654" i="17"/>
  <c r="T125" i="17"/>
  <c r="T122" i="17"/>
  <c r="I759" i="18"/>
  <c r="K759" i="18" s="1"/>
  <c r="R189" i="18"/>
  <c r="U189" i="18" s="1"/>
  <c r="U191" i="18"/>
  <c r="P178" i="18"/>
  <c r="O178" i="18"/>
  <c r="N176" i="18"/>
  <c r="R145" i="18"/>
  <c r="U145" i="18" s="1"/>
  <c r="U147" i="18"/>
  <c r="P95" i="18"/>
  <c r="L75" i="18"/>
  <c r="O75" i="18" s="1"/>
  <c r="Q59" i="18"/>
  <c r="T59" i="18" s="1"/>
  <c r="T60" i="18"/>
  <c r="P584" i="16"/>
  <c r="M359" i="17"/>
  <c r="M163" i="17"/>
  <c r="P163" i="17" s="1"/>
  <c r="M714" i="18"/>
  <c r="P714" i="18" s="1"/>
  <c r="P715" i="18"/>
  <c r="P560" i="18"/>
  <c r="M557" i="18"/>
  <c r="U535" i="18"/>
  <c r="R534" i="18"/>
  <c r="U534" i="18" s="1"/>
  <c r="K425" i="18"/>
  <c r="O376" i="18"/>
  <c r="J351" i="18"/>
  <c r="O311" i="18"/>
  <c r="L309" i="18"/>
  <c r="O309" i="18" s="1"/>
  <c r="M272" i="18"/>
  <c r="P272" i="18" s="1"/>
  <c r="M268" i="18"/>
  <c r="M266" i="18" s="1"/>
  <c r="P271" i="18"/>
  <c r="M269" i="18"/>
  <c r="L254" i="18"/>
  <c r="O254" i="18" s="1"/>
  <c r="M175" i="18"/>
  <c r="M173" i="18" s="1"/>
  <c r="M176" i="18"/>
  <c r="T147" i="18"/>
  <c r="Q145" i="18"/>
  <c r="T145" i="18" s="1"/>
  <c r="K780" i="17"/>
  <c r="J702" i="17"/>
  <c r="O607" i="17"/>
  <c r="I238" i="17"/>
  <c r="K238" i="17" s="1"/>
  <c r="K169" i="17"/>
  <c r="P102" i="17"/>
  <c r="I83" i="17"/>
  <c r="I71" i="17" s="1"/>
  <c r="K71" i="17" s="1"/>
  <c r="K785" i="18"/>
  <c r="K782" i="18"/>
  <c r="K779" i="18"/>
  <c r="R763" i="18"/>
  <c r="U763" i="18" s="1"/>
  <c r="M760" i="18"/>
  <c r="P760" i="18" s="1"/>
  <c r="O715" i="18"/>
  <c r="L714" i="18"/>
  <c r="O714" i="18" s="1"/>
  <c r="R555" i="18"/>
  <c r="U555" i="18" s="1"/>
  <c r="P418" i="18"/>
  <c r="M416" i="18"/>
  <c r="N416" i="18"/>
  <c r="M392" i="18"/>
  <c r="P392" i="18" s="1"/>
  <c r="P393" i="18"/>
  <c r="P338" i="18"/>
  <c r="N336" i="18"/>
  <c r="P336" i="18" s="1"/>
  <c r="T321" i="18"/>
  <c r="Q320" i="18"/>
  <c r="T320" i="18" s="1"/>
  <c r="S159" i="18"/>
  <c r="S157" i="18" s="1"/>
  <c r="S160" i="18"/>
  <c r="M62" i="18"/>
  <c r="P62" i="18" s="1"/>
  <c r="P64" i="18"/>
  <c r="P49" i="18"/>
  <c r="R44" i="18"/>
  <c r="U44" i="18" s="1"/>
  <c r="L582" i="18"/>
  <c r="O582" i="18" s="1"/>
  <c r="O584" i="18"/>
  <c r="M519" i="18"/>
  <c r="P519" i="18" s="1"/>
  <c r="P521" i="18"/>
  <c r="U376" i="18"/>
  <c r="R375" i="18"/>
  <c r="P194" i="18"/>
  <c r="M188" i="18"/>
  <c r="M186" i="18" s="1"/>
  <c r="M192" i="18"/>
  <c r="P192" i="18" s="1"/>
  <c r="M163" i="18"/>
  <c r="P163" i="18" s="1"/>
  <c r="P165" i="18"/>
  <c r="S119" i="18"/>
  <c r="S117" i="18" s="1"/>
  <c r="S120" i="18"/>
  <c r="T120" i="18" s="1"/>
  <c r="T122" i="18"/>
  <c r="Q97" i="18"/>
  <c r="T97" i="18" s="1"/>
  <c r="T99" i="18"/>
  <c r="L61" i="18"/>
  <c r="L59" i="18" s="1"/>
  <c r="L62" i="18"/>
  <c r="O62" i="18" s="1"/>
  <c r="R714" i="18"/>
  <c r="U714" i="18" s="1"/>
  <c r="K681" i="18"/>
  <c r="S576" i="18"/>
  <c r="P563" i="18"/>
  <c r="Q555" i="18"/>
  <c r="T555" i="18" s="1"/>
  <c r="P539" i="18"/>
  <c r="M536" i="18"/>
  <c r="P536" i="18" s="1"/>
  <c r="M515" i="18"/>
  <c r="P515" i="18" s="1"/>
  <c r="M516" i="18"/>
  <c r="P516" i="18" s="1"/>
  <c r="K503" i="18"/>
  <c r="U495" i="18"/>
  <c r="J457" i="18"/>
  <c r="J456" i="18" s="1"/>
  <c r="K433" i="18"/>
  <c r="O380" i="18"/>
  <c r="S333" i="18"/>
  <c r="P328" i="18"/>
  <c r="P311" i="18"/>
  <c r="I281" i="18"/>
  <c r="K281" i="18" s="1"/>
  <c r="K260" i="18"/>
  <c r="I238" i="18"/>
  <c r="K238" i="18" s="1"/>
  <c r="L175" i="18"/>
  <c r="L173" i="18" s="1"/>
  <c r="K153" i="18"/>
  <c r="O147" i="18"/>
  <c r="U142" i="18"/>
  <c r="T125" i="18"/>
  <c r="P80" i="18"/>
  <c r="R74" i="18"/>
  <c r="R72" i="18" s="1"/>
  <c r="P47" i="18"/>
  <c r="S44" i="18"/>
  <c r="Q44" i="18"/>
  <c r="T44" i="18" s="1"/>
  <c r="N728" i="18"/>
  <c r="N616" i="18"/>
  <c r="N557" i="18"/>
  <c r="N555" i="18" s="1"/>
  <c r="S413" i="18"/>
  <c r="U380" i="18"/>
  <c r="N377" i="18"/>
  <c r="N375" i="18" s="1"/>
  <c r="K365" i="18"/>
  <c r="N358" i="18"/>
  <c r="N356" i="18" s="1"/>
  <c r="N359" i="18"/>
  <c r="K346" i="18"/>
  <c r="L335" i="18"/>
  <c r="L322" i="18"/>
  <c r="L320" i="18" s="1"/>
  <c r="K319" i="18"/>
  <c r="M305" i="18"/>
  <c r="M303" i="18" s="1"/>
  <c r="I302" i="18"/>
  <c r="K302" i="18" s="1"/>
  <c r="L288" i="18"/>
  <c r="O288" i="18" s="1"/>
  <c r="U271" i="18"/>
  <c r="S268" i="18"/>
  <c r="S266" i="18" s="1"/>
  <c r="J231" i="18"/>
  <c r="J185" i="18" s="1"/>
  <c r="Q141" i="18"/>
  <c r="Q139" i="18" s="1"/>
  <c r="M96" i="18"/>
  <c r="P96" i="18" s="1"/>
  <c r="Q74" i="18"/>
  <c r="N19" i="18"/>
  <c r="K726" i="18"/>
  <c r="K709" i="18"/>
  <c r="R645" i="18"/>
  <c r="L558" i="18"/>
  <c r="O558" i="18" s="1"/>
  <c r="S513" i="18"/>
  <c r="N495" i="18"/>
  <c r="N493" i="18" s="1"/>
  <c r="S378" i="18"/>
  <c r="L305" i="18"/>
  <c r="L303" i="18" s="1"/>
  <c r="R268" i="18"/>
  <c r="R266" i="18" s="1"/>
  <c r="L235" i="18"/>
  <c r="I242" i="18"/>
  <c r="K242" i="18" s="1"/>
  <c r="K209" i="18"/>
  <c r="L203" i="18"/>
  <c r="O203" i="18" s="1"/>
  <c r="K183" i="18"/>
  <c r="P162" i="18"/>
  <c r="N714" i="18"/>
  <c r="I701" i="18"/>
  <c r="R693" i="18"/>
  <c r="U693" i="18" s="1"/>
  <c r="K654" i="18"/>
  <c r="M605" i="18"/>
  <c r="P605" i="18" s="1"/>
  <c r="L578" i="18"/>
  <c r="L576" i="18" s="1"/>
  <c r="O576" i="18" s="1"/>
  <c r="P498" i="18"/>
  <c r="U377" i="18"/>
  <c r="L377" i="18"/>
  <c r="O377" i="18" s="1"/>
  <c r="R378" i="18"/>
  <c r="U378" i="18" s="1"/>
  <c r="J332" i="18"/>
  <c r="K332" i="18" s="1"/>
  <c r="S282" i="18"/>
  <c r="S188" i="18"/>
  <c r="M159" i="18"/>
  <c r="N141" i="18"/>
  <c r="N139" i="18" s="1"/>
  <c r="M97" i="18"/>
  <c r="P97" i="18" s="1"/>
  <c r="L78" i="18"/>
  <c r="O78" i="18" s="1"/>
  <c r="R59" i="18"/>
  <c r="U59" i="18" s="1"/>
  <c r="L19" i="18"/>
  <c r="R760" i="18"/>
  <c r="K689" i="18"/>
  <c r="T763" i="18"/>
  <c r="S495" i="17"/>
  <c r="S493" i="17" s="1"/>
  <c r="N189" i="18"/>
  <c r="P189" i="18" s="1"/>
  <c r="O191" i="18"/>
  <c r="N188" i="18"/>
  <c r="N186" i="18" s="1"/>
  <c r="U416" i="15"/>
  <c r="L142" i="15"/>
  <c r="O142" i="15" s="1"/>
  <c r="P542" i="16"/>
  <c r="K458" i="16"/>
  <c r="K153" i="16"/>
  <c r="I136" i="16"/>
  <c r="K136" i="16" s="1"/>
  <c r="K782" i="17"/>
  <c r="J701" i="17"/>
  <c r="T418" i="17"/>
  <c r="M381" i="17"/>
  <c r="P381" i="17" s="1"/>
  <c r="K292" i="17"/>
  <c r="U765" i="18"/>
  <c r="P761" i="18"/>
  <c r="L728" i="18"/>
  <c r="O728" i="18" s="1"/>
  <c r="K707" i="18"/>
  <c r="K705" i="18"/>
  <c r="Q692" i="18"/>
  <c r="Q690" i="18" s="1"/>
  <c r="T695" i="18"/>
  <c r="Q693" i="18"/>
  <c r="T693" i="18" s="1"/>
  <c r="P692" i="18"/>
  <c r="L690" i="18"/>
  <c r="O690" i="18" s="1"/>
  <c r="K678" i="18"/>
  <c r="U643" i="18"/>
  <c r="R642" i="18"/>
  <c r="S555" i="18"/>
  <c r="O539" i="18"/>
  <c r="L537" i="18"/>
  <c r="O537" i="18" s="1"/>
  <c r="L536" i="18"/>
  <c r="J374" i="18"/>
  <c r="K386" i="18"/>
  <c r="T380" i="18"/>
  <c r="Q377" i="18"/>
  <c r="Q378" i="18"/>
  <c r="O361" i="18"/>
  <c r="L359" i="18"/>
  <c r="L358" i="18"/>
  <c r="N179" i="18"/>
  <c r="N175" i="18"/>
  <c r="L160" i="17"/>
  <c r="O160" i="17" s="1"/>
  <c r="K209" i="16"/>
  <c r="N188" i="16"/>
  <c r="N186" i="16" s="1"/>
  <c r="Q159" i="16"/>
  <c r="T159" i="16" s="1"/>
  <c r="K784" i="17"/>
  <c r="T765" i="17"/>
  <c r="S730" i="17"/>
  <c r="T730" i="17" s="1"/>
  <c r="T695" i="17"/>
  <c r="N515" i="17"/>
  <c r="N513" i="17" s="1"/>
  <c r="M339" i="17"/>
  <c r="P339" i="17" s="1"/>
  <c r="K330" i="17"/>
  <c r="T765" i="18"/>
  <c r="U733" i="18"/>
  <c r="S731" i="18"/>
  <c r="T731" i="18" s="1"/>
  <c r="S618" i="18"/>
  <c r="S616" i="18" s="1"/>
  <c r="T621" i="18"/>
  <c r="S619" i="18"/>
  <c r="U619" i="18" s="1"/>
  <c r="N579" i="18"/>
  <c r="N578" i="18"/>
  <c r="N576" i="18" s="1"/>
  <c r="L557" i="18"/>
  <c r="O557" i="18" s="1"/>
  <c r="O607" i="18"/>
  <c r="L605" i="18"/>
  <c r="O605" i="18" s="1"/>
  <c r="S601" i="18"/>
  <c r="S599" i="18" s="1"/>
  <c r="O604" i="17"/>
  <c r="M561" i="17"/>
  <c r="P561" i="17" s="1"/>
  <c r="N284" i="17"/>
  <c r="N282" i="17" s="1"/>
  <c r="Q268" i="17"/>
  <c r="Q266" i="17" s="1"/>
  <c r="O194" i="17"/>
  <c r="I92" i="17"/>
  <c r="K92" i="17" s="1"/>
  <c r="Q74" i="17"/>
  <c r="T74" i="17" s="1"/>
  <c r="T761" i="18"/>
  <c r="T733" i="18"/>
  <c r="U729" i="18"/>
  <c r="T716" i="18"/>
  <c r="R690" i="18"/>
  <c r="Q644" i="18"/>
  <c r="T647" i="18"/>
  <c r="O604" i="18"/>
  <c r="L602" i="18"/>
  <c r="O602" i="18" s="1"/>
  <c r="J374" i="16"/>
  <c r="P539" i="17"/>
  <c r="K365" i="17"/>
  <c r="L358" i="17"/>
  <c r="L356" i="17" s="1"/>
  <c r="P306" i="17"/>
  <c r="S306" i="17"/>
  <c r="P80" i="17"/>
  <c r="Q730" i="18"/>
  <c r="T730" i="18" s="1"/>
  <c r="K703" i="18"/>
  <c r="J674" i="18"/>
  <c r="K674" i="18" s="1"/>
  <c r="U498" i="18"/>
  <c r="R496" i="18"/>
  <c r="O334" i="18"/>
  <c r="L243" i="18"/>
  <c r="L233" i="18"/>
  <c r="O556" i="18"/>
  <c r="M335" i="16"/>
  <c r="O80" i="16"/>
  <c r="P77" i="16"/>
  <c r="K778" i="17"/>
  <c r="T762" i="17"/>
  <c r="T733" i="17"/>
  <c r="O581" i="17"/>
  <c r="K369" i="17"/>
  <c r="J332" i="17"/>
  <c r="K332" i="17" s="1"/>
  <c r="N305" i="17"/>
  <c r="N303" i="17" s="1"/>
  <c r="O290" i="17"/>
  <c r="L188" i="17"/>
  <c r="L186" i="17" s="1"/>
  <c r="O147" i="17"/>
  <c r="S119" i="17"/>
  <c r="S117" i="17" s="1"/>
  <c r="L760" i="18"/>
  <c r="O760" i="18" s="1"/>
  <c r="U715" i="18"/>
  <c r="S692" i="18"/>
  <c r="S690" i="18" s="1"/>
  <c r="T691" i="18"/>
  <c r="K661" i="18"/>
  <c r="Q645" i="18"/>
  <c r="U617" i="18"/>
  <c r="O563" i="18"/>
  <c r="L561" i="18"/>
  <c r="O561" i="18" s="1"/>
  <c r="L516" i="18"/>
  <c r="O516" i="18" s="1"/>
  <c r="L515" i="18"/>
  <c r="O518" i="18"/>
  <c r="P514" i="18"/>
  <c r="K456" i="18"/>
  <c r="P287" i="18"/>
  <c r="M284" i="18"/>
  <c r="M285" i="18"/>
  <c r="Q534" i="18"/>
  <c r="T534" i="18" s="1"/>
  <c r="M496" i="18"/>
  <c r="M495" i="18"/>
  <c r="K423" i="18"/>
  <c r="S416" i="18"/>
  <c r="T415" i="18"/>
  <c r="Q413" i="18"/>
  <c r="T414" i="18"/>
  <c r="I412" i="18"/>
  <c r="K412" i="18" s="1"/>
  <c r="L392" i="18"/>
  <c r="O392" i="18" s="1"/>
  <c r="O325" i="18"/>
  <c r="N322" i="18"/>
  <c r="N320" i="18" s="1"/>
  <c r="N323" i="18"/>
  <c r="O323" i="18" s="1"/>
  <c r="N306" i="18"/>
  <c r="P308" i="18"/>
  <c r="N305" i="18"/>
  <c r="N303" i="18" s="1"/>
  <c r="U162" i="18"/>
  <c r="R160" i="18"/>
  <c r="U160" i="18" s="1"/>
  <c r="R159" i="18"/>
  <c r="U159" i="18" s="1"/>
  <c r="P140" i="18"/>
  <c r="Q26" i="18"/>
  <c r="M642" i="18"/>
  <c r="P642" i="18" s="1"/>
  <c r="I615" i="18"/>
  <c r="K615" i="18" s="1"/>
  <c r="N601" i="18"/>
  <c r="P584" i="18"/>
  <c r="L579" i="18"/>
  <c r="O579" i="18" s="1"/>
  <c r="N515" i="18"/>
  <c r="N513" i="18" s="1"/>
  <c r="T498" i="18"/>
  <c r="O498" i="18"/>
  <c r="L496" i="18"/>
  <c r="L495" i="18"/>
  <c r="I492" i="18"/>
  <c r="K492" i="18" s="1"/>
  <c r="U418" i="18"/>
  <c r="R416" i="18"/>
  <c r="M415" i="18"/>
  <c r="T393" i="18"/>
  <c r="P325" i="18"/>
  <c r="M322" i="18"/>
  <c r="M323" i="18"/>
  <c r="P283" i="18"/>
  <c r="P581" i="18"/>
  <c r="M558" i="18"/>
  <c r="P558" i="18" s="1"/>
  <c r="M540" i="18"/>
  <c r="P540" i="18" s="1"/>
  <c r="S496" i="18"/>
  <c r="T496" i="18" s="1"/>
  <c r="K457" i="18"/>
  <c r="T418" i="18"/>
  <c r="Q416" i="18"/>
  <c r="M358" i="18"/>
  <c r="P361" i="18"/>
  <c r="M359" i="18"/>
  <c r="T269" i="18"/>
  <c r="S19" i="18"/>
  <c r="R618" i="18"/>
  <c r="U621" i="18"/>
  <c r="R601" i="18"/>
  <c r="Q495" i="18"/>
  <c r="T495" i="18" s="1"/>
  <c r="R493" i="18"/>
  <c r="U493" i="18" s="1"/>
  <c r="K441" i="18"/>
  <c r="L285" i="18"/>
  <c r="L284" i="18"/>
  <c r="O287" i="18"/>
  <c r="N268" i="18"/>
  <c r="N266" i="18" s="1"/>
  <c r="N269" i="18"/>
  <c r="R605" i="18"/>
  <c r="U605" i="18" s="1"/>
  <c r="T604" i="18"/>
  <c r="Q601" i="18"/>
  <c r="T601" i="18" s="1"/>
  <c r="T600" i="18"/>
  <c r="T577" i="18"/>
  <c r="R576" i="18"/>
  <c r="U576" i="18" s="1"/>
  <c r="P518" i="18"/>
  <c r="O501" i="18"/>
  <c r="L499" i="18"/>
  <c r="O499" i="18" s="1"/>
  <c r="N496" i="18"/>
  <c r="T494" i="18"/>
  <c r="K440" i="18"/>
  <c r="O421" i="18"/>
  <c r="L419" i="18"/>
  <c r="O419" i="18" s="1"/>
  <c r="M419" i="18"/>
  <c r="P419" i="18" s="1"/>
  <c r="O418" i="18"/>
  <c r="L416" i="18"/>
  <c r="U415" i="18"/>
  <c r="R413" i="18"/>
  <c r="U334" i="18"/>
  <c r="R333" i="18"/>
  <c r="U333" i="18" s="1"/>
  <c r="O308" i="18"/>
  <c r="P304" i="18"/>
  <c r="K280" i="18"/>
  <c r="U269" i="18"/>
  <c r="Q176" i="18"/>
  <c r="T176" i="18" s="1"/>
  <c r="Q175" i="18"/>
  <c r="T178" i="18"/>
  <c r="O338" i="18"/>
  <c r="K293" i="18"/>
  <c r="R282" i="18"/>
  <c r="U282" i="18" s="1"/>
  <c r="T271" i="18"/>
  <c r="Q268" i="18"/>
  <c r="Q266" i="18" s="1"/>
  <c r="K249" i="18"/>
  <c r="T191" i="18"/>
  <c r="P191" i="18"/>
  <c r="U178" i="18"/>
  <c r="L176" i="18"/>
  <c r="U174" i="18"/>
  <c r="O174" i="18"/>
  <c r="U95" i="18"/>
  <c r="M335" i="18"/>
  <c r="R320" i="18"/>
  <c r="U320" i="18" s="1"/>
  <c r="O271" i="18"/>
  <c r="I265" i="18"/>
  <c r="K265" i="18" s="1"/>
  <c r="L188" i="18"/>
  <c r="L189" i="18"/>
  <c r="K172" i="18"/>
  <c r="U158" i="18"/>
  <c r="Q356" i="18"/>
  <c r="T356" i="18" s="1"/>
  <c r="L269" i="18"/>
  <c r="I221" i="18"/>
  <c r="K221" i="18" s="1"/>
  <c r="Q189" i="18"/>
  <c r="T189" i="18" s="1"/>
  <c r="R188" i="18"/>
  <c r="R176" i="18"/>
  <c r="U176" i="18" s="1"/>
  <c r="O162" i="18"/>
  <c r="L160" i="18"/>
  <c r="O160" i="18" s="1"/>
  <c r="L159" i="18"/>
  <c r="U19" i="18"/>
  <c r="O165" i="18"/>
  <c r="L163" i="18"/>
  <c r="O163" i="18" s="1"/>
  <c r="L26" i="18"/>
  <c r="O181" i="18"/>
  <c r="T142" i="18"/>
  <c r="N119" i="18"/>
  <c r="N117" i="18" s="1"/>
  <c r="I82" i="18"/>
  <c r="N26" i="18"/>
  <c r="N24" i="18" s="1"/>
  <c r="N96" i="18"/>
  <c r="N94" i="18" s="1"/>
  <c r="P52" i="18"/>
  <c r="M26" i="18"/>
  <c r="M24" i="18" s="1"/>
  <c r="M50" i="18"/>
  <c r="P50" i="18" s="1"/>
  <c r="O118" i="18"/>
  <c r="P22" i="18"/>
  <c r="M19" i="18"/>
  <c r="O158" i="18"/>
  <c r="U118" i="18"/>
  <c r="S94" i="18"/>
  <c r="O95" i="18"/>
  <c r="R26" i="18"/>
  <c r="U75" i="18"/>
  <c r="P67" i="18"/>
  <c r="M65" i="18"/>
  <c r="P65" i="18" s="1"/>
  <c r="P25" i="18"/>
  <c r="O19" i="18"/>
  <c r="T144" i="18"/>
  <c r="I116" i="18"/>
  <c r="K116" i="18" s="1"/>
  <c r="U80" i="18"/>
  <c r="Q78" i="18"/>
  <c r="T78" i="18" s="1"/>
  <c r="U77" i="18"/>
  <c r="O77" i="18"/>
  <c r="Q75" i="18"/>
  <c r="T75" i="18" s="1"/>
  <c r="O64" i="18"/>
  <c r="N50" i="18"/>
  <c r="O49" i="18"/>
  <c r="N23" i="18"/>
  <c r="S141" i="18"/>
  <c r="M141" i="18"/>
  <c r="R119" i="18"/>
  <c r="L119" i="18"/>
  <c r="O119" i="18" s="1"/>
  <c r="R96" i="18"/>
  <c r="U96" i="18" s="1"/>
  <c r="L96" i="18"/>
  <c r="O96" i="18" s="1"/>
  <c r="N74" i="18"/>
  <c r="N72" i="18" s="1"/>
  <c r="N61" i="18"/>
  <c r="N59" i="18" s="1"/>
  <c r="N46" i="18"/>
  <c r="S26" i="18"/>
  <c r="S24" i="18" s="1"/>
  <c r="S23" i="18"/>
  <c r="M23" i="18"/>
  <c r="Q19" i="18"/>
  <c r="Q159" i="18"/>
  <c r="R141" i="18"/>
  <c r="L141" i="18"/>
  <c r="Q119" i="18"/>
  <c r="Q96" i="18"/>
  <c r="K85" i="18"/>
  <c r="S74" i="18"/>
  <c r="S72" i="18" s="1"/>
  <c r="M74" i="18"/>
  <c r="M61" i="18"/>
  <c r="M46" i="18"/>
  <c r="R23" i="18"/>
  <c r="L23" i="18"/>
  <c r="M145" i="18"/>
  <c r="P145" i="18" s="1"/>
  <c r="M142" i="18"/>
  <c r="P142" i="18" s="1"/>
  <c r="R123" i="18"/>
  <c r="U123" i="18" s="1"/>
  <c r="L123" i="18"/>
  <c r="O123" i="18" s="1"/>
  <c r="R120" i="18"/>
  <c r="L120" i="18"/>
  <c r="O120" i="18" s="1"/>
  <c r="L100" i="18"/>
  <c r="O100" i="18" s="1"/>
  <c r="R97" i="18"/>
  <c r="U97" i="18" s="1"/>
  <c r="L97" i="18"/>
  <c r="O97" i="18" s="1"/>
  <c r="Q23" i="18"/>
  <c r="N495" i="17"/>
  <c r="N493" i="17" s="1"/>
  <c r="N496" i="17"/>
  <c r="R19" i="17"/>
  <c r="U22" i="17"/>
  <c r="J351" i="14"/>
  <c r="K654" i="15"/>
  <c r="K783" i="16"/>
  <c r="K780" i="16"/>
  <c r="Q493" i="16"/>
  <c r="T493" i="16" s="1"/>
  <c r="Q728" i="17"/>
  <c r="R618" i="17"/>
  <c r="R616" i="17" s="1"/>
  <c r="U621" i="17"/>
  <c r="P380" i="17"/>
  <c r="T334" i="17"/>
  <c r="Q333" i="17"/>
  <c r="T333" i="17" s="1"/>
  <c r="N358" i="14"/>
  <c r="N356" i="14" s="1"/>
  <c r="K709" i="15"/>
  <c r="K432" i="15"/>
  <c r="I374" i="15"/>
  <c r="O336" i="15"/>
  <c r="P162" i="15"/>
  <c r="O361" i="16"/>
  <c r="L159" i="16"/>
  <c r="L157" i="16" s="1"/>
  <c r="O77" i="16"/>
  <c r="I759" i="17"/>
  <c r="K759" i="17" s="1"/>
  <c r="S714" i="17"/>
  <c r="N714" i="17"/>
  <c r="Q692" i="17"/>
  <c r="T692" i="17" s="1"/>
  <c r="Q693" i="17"/>
  <c r="Q644" i="17"/>
  <c r="T644" i="17" s="1"/>
  <c r="Q645" i="17"/>
  <c r="N642" i="17"/>
  <c r="R605" i="17"/>
  <c r="U605" i="17" s="1"/>
  <c r="Q576" i="17"/>
  <c r="T576" i="17" s="1"/>
  <c r="I423" i="17"/>
  <c r="P285" i="17"/>
  <c r="U191" i="17"/>
  <c r="M188" i="17"/>
  <c r="M189" i="17"/>
  <c r="N176" i="17"/>
  <c r="P176" i="17" s="1"/>
  <c r="U162" i="17"/>
  <c r="R159" i="17"/>
  <c r="U159" i="17" s="1"/>
  <c r="T120" i="17"/>
  <c r="N269" i="17"/>
  <c r="O269" i="17" s="1"/>
  <c r="N268" i="17"/>
  <c r="N266" i="17" s="1"/>
  <c r="M75" i="17"/>
  <c r="P75" i="17" s="1"/>
  <c r="P77" i="17"/>
  <c r="K292" i="15"/>
  <c r="Q496" i="16"/>
  <c r="T496" i="16" s="1"/>
  <c r="K314" i="16"/>
  <c r="T194" i="16"/>
  <c r="M175" i="16"/>
  <c r="M173" i="16" s="1"/>
  <c r="L760" i="17"/>
  <c r="O760" i="17" s="1"/>
  <c r="U731" i="17"/>
  <c r="L728" i="17"/>
  <c r="O728" i="17" s="1"/>
  <c r="U715" i="17"/>
  <c r="R619" i="17"/>
  <c r="U619" i="17" s="1"/>
  <c r="O518" i="17"/>
  <c r="M326" i="17"/>
  <c r="P326" i="17" s="1"/>
  <c r="O311" i="17"/>
  <c r="O304" i="17"/>
  <c r="I253" i="17"/>
  <c r="K253" i="17" s="1"/>
  <c r="R142" i="17"/>
  <c r="U142" i="17" s="1"/>
  <c r="U144" i="17"/>
  <c r="I93" i="17"/>
  <c r="K93" i="17" s="1"/>
  <c r="K109" i="17"/>
  <c r="M62" i="17"/>
  <c r="P62" i="17" s="1"/>
  <c r="P64" i="17"/>
  <c r="L47" i="17"/>
  <c r="O47" i="17" s="1"/>
  <c r="N377" i="17"/>
  <c r="N378" i="17"/>
  <c r="P378" i="17" s="1"/>
  <c r="P325" i="13"/>
  <c r="M519" i="14"/>
  <c r="P519" i="14" s="1"/>
  <c r="L578" i="16"/>
  <c r="L576" i="16" s="1"/>
  <c r="Q413" i="16"/>
  <c r="N760" i="17"/>
  <c r="L602" i="17"/>
  <c r="M536" i="17"/>
  <c r="P536" i="17" s="1"/>
  <c r="N415" i="17"/>
  <c r="N413" i="17" s="1"/>
  <c r="L359" i="17"/>
  <c r="S356" i="17"/>
  <c r="N322" i="17"/>
  <c r="N320" i="17" s="1"/>
  <c r="I213" i="17"/>
  <c r="K213" i="17" s="1"/>
  <c r="K220" i="17"/>
  <c r="M123" i="17"/>
  <c r="P123" i="17" s="1"/>
  <c r="P125" i="17"/>
  <c r="M119" i="17"/>
  <c r="P119" i="17" s="1"/>
  <c r="P122" i="17"/>
  <c r="M120" i="17"/>
  <c r="P120" i="17" s="1"/>
  <c r="T60" i="17"/>
  <c r="K707" i="15"/>
  <c r="K276" i="15"/>
  <c r="S692" i="16"/>
  <c r="S690" i="16" s="1"/>
  <c r="M536" i="16"/>
  <c r="P536" i="16" s="1"/>
  <c r="L516" i="16"/>
  <c r="O516" i="16" s="1"/>
  <c r="O338" i="16"/>
  <c r="S306" i="16"/>
  <c r="K127" i="16"/>
  <c r="L690" i="17"/>
  <c r="O690" i="17" s="1"/>
  <c r="R601" i="17"/>
  <c r="U604" i="17"/>
  <c r="R395" i="17"/>
  <c r="U395" i="17" s="1"/>
  <c r="U397" i="17"/>
  <c r="I374" i="17"/>
  <c r="K386" i="17"/>
  <c r="R305" i="17"/>
  <c r="U305" i="17" s="1"/>
  <c r="R306" i="17"/>
  <c r="O274" i="17"/>
  <c r="L272" i="17"/>
  <c r="O272" i="17" s="1"/>
  <c r="M159" i="17"/>
  <c r="M157" i="17" s="1"/>
  <c r="M160" i="17"/>
  <c r="N141" i="17"/>
  <c r="N139" i="17" s="1"/>
  <c r="N142" i="17"/>
  <c r="O142" i="17" s="1"/>
  <c r="J675" i="17"/>
  <c r="K675" i="17" s="1"/>
  <c r="S645" i="17"/>
  <c r="U645" i="17" s="1"/>
  <c r="N601" i="17"/>
  <c r="N599" i="17" s="1"/>
  <c r="K371" i="17"/>
  <c r="N358" i="17"/>
  <c r="N356" i="17" s="1"/>
  <c r="M323" i="17"/>
  <c r="P323" i="17" s="1"/>
  <c r="S320" i="17"/>
  <c r="L305" i="17"/>
  <c r="L233" i="17"/>
  <c r="K202" i="17"/>
  <c r="K137" i="17"/>
  <c r="L75" i="17"/>
  <c r="O75" i="17" s="1"/>
  <c r="L61" i="17"/>
  <c r="L59" i="17" s="1"/>
  <c r="R44" i="17"/>
  <c r="U44" i="17" s="1"/>
  <c r="N616" i="17"/>
  <c r="S601" i="17"/>
  <c r="S599" i="17" s="1"/>
  <c r="M601" i="17"/>
  <c r="M599" i="17" s="1"/>
  <c r="S602" i="17"/>
  <c r="N578" i="17"/>
  <c r="N576" i="17" s="1"/>
  <c r="P518" i="17"/>
  <c r="Q513" i="17"/>
  <c r="T513" i="17" s="1"/>
  <c r="S415" i="17"/>
  <c r="T415" i="17" s="1"/>
  <c r="J374" i="17"/>
  <c r="K368" i="17"/>
  <c r="L306" i="17"/>
  <c r="O306" i="17" s="1"/>
  <c r="O287" i="17"/>
  <c r="P283" i="17"/>
  <c r="L222" i="17"/>
  <c r="O222" i="17" s="1"/>
  <c r="S188" i="17"/>
  <c r="S186" i="17" s="1"/>
  <c r="Q175" i="17"/>
  <c r="T175" i="17" s="1"/>
  <c r="N159" i="17"/>
  <c r="Q159" i="17"/>
  <c r="T159" i="17" s="1"/>
  <c r="T147" i="17"/>
  <c r="U122" i="17"/>
  <c r="R74" i="17"/>
  <c r="R72" i="17" s="1"/>
  <c r="U72" i="17" s="1"/>
  <c r="S44" i="17"/>
  <c r="K709" i="17"/>
  <c r="S693" i="17"/>
  <c r="U693" i="17" s="1"/>
  <c r="P643" i="17"/>
  <c r="N602" i="17"/>
  <c r="N557" i="17"/>
  <c r="N555" i="17" s="1"/>
  <c r="N558" i="17"/>
  <c r="O539" i="17"/>
  <c r="L537" i="17"/>
  <c r="O537" i="17" s="1"/>
  <c r="M495" i="17"/>
  <c r="M493" i="17" s="1"/>
  <c r="P493" i="17" s="1"/>
  <c r="L381" i="17"/>
  <c r="O381" i="17" s="1"/>
  <c r="M377" i="17"/>
  <c r="S378" i="17"/>
  <c r="M362" i="17"/>
  <c r="P362" i="17" s="1"/>
  <c r="J343" i="17"/>
  <c r="M335" i="17"/>
  <c r="M333" i="17" s="1"/>
  <c r="P290" i="17"/>
  <c r="P287" i="17"/>
  <c r="M284" i="17"/>
  <c r="M282" i="17" s="1"/>
  <c r="P271" i="17"/>
  <c r="L236" i="17"/>
  <c r="T203" i="17"/>
  <c r="T178" i="17"/>
  <c r="T162" i="17"/>
  <c r="S160" i="17"/>
  <c r="Q141" i="17"/>
  <c r="T99" i="17"/>
  <c r="M96" i="17"/>
  <c r="P96" i="17" s="1"/>
  <c r="S97" i="17"/>
  <c r="L62" i="17"/>
  <c r="O62" i="17" s="1"/>
  <c r="U695" i="17"/>
  <c r="S690" i="17"/>
  <c r="M690" i="17"/>
  <c r="P690" i="17" s="1"/>
  <c r="O643" i="17"/>
  <c r="P607" i="17"/>
  <c r="P604" i="17"/>
  <c r="M602" i="17"/>
  <c r="N519" i="17"/>
  <c r="T515" i="17"/>
  <c r="O418" i="17"/>
  <c r="S394" i="17"/>
  <c r="S392" i="17" s="1"/>
  <c r="O380" i="17"/>
  <c r="K346" i="17"/>
  <c r="O285" i="17"/>
  <c r="S282" i="17"/>
  <c r="K221" i="17"/>
  <c r="M192" i="17"/>
  <c r="P192" i="17" s="1"/>
  <c r="N188" i="17"/>
  <c r="N186" i="17" s="1"/>
  <c r="S176" i="17"/>
  <c r="Q145" i="17"/>
  <c r="O144" i="17"/>
  <c r="S94" i="17"/>
  <c r="R59" i="17"/>
  <c r="U59" i="17" s="1"/>
  <c r="T45" i="17"/>
  <c r="L19" i="17"/>
  <c r="S760" i="17"/>
  <c r="K503" i="17"/>
  <c r="I492" i="17"/>
  <c r="K492" i="17" s="1"/>
  <c r="L419" i="17"/>
  <c r="O419" i="17" s="1"/>
  <c r="O421" i="17"/>
  <c r="O414" i="17"/>
  <c r="U380" i="17"/>
  <c r="R377" i="17"/>
  <c r="L254" i="17"/>
  <c r="O254" i="17" s="1"/>
  <c r="L234" i="17"/>
  <c r="P181" i="17"/>
  <c r="M179" i="17"/>
  <c r="P179" i="17" s="1"/>
  <c r="P602" i="15"/>
  <c r="K371" i="15"/>
  <c r="P359" i="15"/>
  <c r="M323" i="15"/>
  <c r="P323" i="15" s="1"/>
  <c r="U175" i="15"/>
  <c r="K784" i="16"/>
  <c r="K781" i="16"/>
  <c r="K778" i="16"/>
  <c r="Q730" i="16"/>
  <c r="Q728" i="16" s="1"/>
  <c r="T728" i="16" s="1"/>
  <c r="J702" i="16"/>
  <c r="O584" i="16"/>
  <c r="P560" i="16"/>
  <c r="L536" i="16"/>
  <c r="O536" i="16" s="1"/>
  <c r="R416" i="16"/>
  <c r="S378" i="16"/>
  <c r="U378" i="16" s="1"/>
  <c r="M336" i="16"/>
  <c r="Q306" i="16"/>
  <c r="O178" i="16"/>
  <c r="N175" i="16"/>
  <c r="N173" i="16" s="1"/>
  <c r="T80" i="16"/>
  <c r="O49" i="16"/>
  <c r="R730" i="17"/>
  <c r="P729" i="17"/>
  <c r="K705" i="17"/>
  <c r="I689" i="17"/>
  <c r="K689" i="17" s="1"/>
  <c r="K678" i="17"/>
  <c r="T643" i="17"/>
  <c r="M616" i="17"/>
  <c r="P616" i="17" s="1"/>
  <c r="Q605" i="17"/>
  <c r="T605" i="17" s="1"/>
  <c r="Q601" i="17"/>
  <c r="M540" i="17"/>
  <c r="P540" i="17" s="1"/>
  <c r="P542" i="17"/>
  <c r="K458" i="17"/>
  <c r="T380" i="17"/>
  <c r="Q378" i="17"/>
  <c r="Q377" i="17"/>
  <c r="T377" i="17" s="1"/>
  <c r="Q26" i="17"/>
  <c r="O560" i="17"/>
  <c r="L558" i="17"/>
  <c r="O558" i="17" s="1"/>
  <c r="L557" i="17"/>
  <c r="L519" i="17"/>
  <c r="O519" i="17" s="1"/>
  <c r="O521" i="17"/>
  <c r="T271" i="17"/>
  <c r="S268" i="17"/>
  <c r="S266" i="17" s="1"/>
  <c r="S269" i="17"/>
  <c r="T269" i="17" s="1"/>
  <c r="Q618" i="15"/>
  <c r="Q616" i="15" s="1"/>
  <c r="O359" i="15"/>
  <c r="Q305" i="15"/>
  <c r="T305" i="15" s="1"/>
  <c r="N141" i="15"/>
  <c r="N139" i="15" s="1"/>
  <c r="S731" i="16"/>
  <c r="T731" i="16" s="1"/>
  <c r="J701" i="16"/>
  <c r="N601" i="16"/>
  <c r="N599" i="16" s="1"/>
  <c r="O560" i="16"/>
  <c r="K456" i="16"/>
  <c r="L419" i="16"/>
  <c r="O419" i="16" s="1"/>
  <c r="T380" i="16"/>
  <c r="P325" i="16"/>
  <c r="L268" i="16"/>
  <c r="L236" i="16"/>
  <c r="T189" i="16"/>
  <c r="Q760" i="17"/>
  <c r="Q714" i="17"/>
  <c r="T714" i="17" s="1"/>
  <c r="R692" i="17"/>
  <c r="U692" i="17" s="1"/>
  <c r="U647" i="17"/>
  <c r="L616" i="17"/>
  <c r="O616" i="17" s="1"/>
  <c r="O617" i="17"/>
  <c r="Q602" i="17"/>
  <c r="T602" i="17" s="1"/>
  <c r="S534" i="17"/>
  <c r="K457" i="17"/>
  <c r="I456" i="17"/>
  <c r="K456" i="17" s="1"/>
  <c r="U414" i="17"/>
  <c r="L392" i="17"/>
  <c r="O392" i="17" s="1"/>
  <c r="O393" i="17"/>
  <c r="I302" i="17"/>
  <c r="K302" i="17" s="1"/>
  <c r="K314" i="17"/>
  <c r="L557" i="14"/>
  <c r="O557" i="14" s="1"/>
  <c r="M605" i="16"/>
  <c r="P605" i="16" s="1"/>
  <c r="M601" i="16"/>
  <c r="M599" i="16" s="1"/>
  <c r="U194" i="16"/>
  <c r="O144" i="16"/>
  <c r="L75" i="16"/>
  <c r="O75" i="16" s="1"/>
  <c r="U765" i="17"/>
  <c r="R762" i="17"/>
  <c r="P761" i="17"/>
  <c r="I758" i="17"/>
  <c r="K758" i="17" s="1"/>
  <c r="U733" i="17"/>
  <c r="T729" i="17"/>
  <c r="U617" i="17"/>
  <c r="K615" i="17"/>
  <c r="P584" i="17"/>
  <c r="M582" i="17"/>
  <c r="P582" i="17" s="1"/>
  <c r="R555" i="17"/>
  <c r="U555" i="17" s="1"/>
  <c r="R416" i="17"/>
  <c r="U416" i="17" s="1"/>
  <c r="U418" i="17"/>
  <c r="T414" i="17"/>
  <c r="Q413" i="17"/>
  <c r="R392" i="17"/>
  <c r="U392" i="17" s="1"/>
  <c r="U393" i="17"/>
  <c r="P361" i="17"/>
  <c r="N359" i="17"/>
  <c r="O361" i="17"/>
  <c r="U335" i="17"/>
  <c r="R333" i="17"/>
  <c r="U333" i="17" s="1"/>
  <c r="P191" i="15"/>
  <c r="P178" i="15"/>
  <c r="K678" i="16"/>
  <c r="K631" i="16"/>
  <c r="U604" i="16"/>
  <c r="K386" i="16"/>
  <c r="N359" i="16"/>
  <c r="P359" i="16" s="1"/>
  <c r="J343" i="16"/>
  <c r="P290" i="16"/>
  <c r="L222" i="16"/>
  <c r="O222" i="16" s="1"/>
  <c r="U191" i="16"/>
  <c r="I156" i="16"/>
  <c r="K156" i="16" s="1"/>
  <c r="M714" i="17"/>
  <c r="P714" i="17" s="1"/>
  <c r="K676" i="17"/>
  <c r="T617" i="17"/>
  <c r="O584" i="17"/>
  <c r="L582" i="17"/>
  <c r="O582" i="17" s="1"/>
  <c r="M578" i="17"/>
  <c r="Q534" i="17"/>
  <c r="T534" i="17" s="1"/>
  <c r="T535" i="17"/>
  <c r="M499" i="17"/>
  <c r="P499" i="17" s="1"/>
  <c r="T393" i="17"/>
  <c r="K681" i="15"/>
  <c r="K503" i="15"/>
  <c r="O189" i="15"/>
  <c r="K785" i="16"/>
  <c r="K782" i="16"/>
  <c r="K779" i="16"/>
  <c r="K705" i="16"/>
  <c r="K630" i="16"/>
  <c r="S601" i="16"/>
  <c r="S599" i="16" s="1"/>
  <c r="M578" i="16"/>
  <c r="M576" i="16" s="1"/>
  <c r="L495" i="16"/>
  <c r="O495" i="16" s="1"/>
  <c r="K368" i="16"/>
  <c r="T191" i="16"/>
  <c r="P162" i="16"/>
  <c r="Q74" i="16"/>
  <c r="Q72" i="16" s="1"/>
  <c r="R644" i="17"/>
  <c r="U644" i="17" s="1"/>
  <c r="K626" i="17"/>
  <c r="K630" i="17"/>
  <c r="K631" i="17"/>
  <c r="Q619" i="17"/>
  <c r="T619" i="17" s="1"/>
  <c r="Q618" i="17"/>
  <c r="T621" i="17"/>
  <c r="L578" i="17"/>
  <c r="M558" i="17"/>
  <c r="P558" i="17" s="1"/>
  <c r="P560" i="17"/>
  <c r="M557" i="17"/>
  <c r="P557" i="17" s="1"/>
  <c r="P521" i="17"/>
  <c r="M519" i="17"/>
  <c r="P519" i="17" s="1"/>
  <c r="L515" i="17"/>
  <c r="J503" i="17"/>
  <c r="J492" i="17" s="1"/>
  <c r="K504" i="17"/>
  <c r="L499" i="17"/>
  <c r="O499" i="17" s="1"/>
  <c r="Q493" i="17"/>
  <c r="T493" i="17" s="1"/>
  <c r="T494" i="17"/>
  <c r="P421" i="17"/>
  <c r="M419" i="17"/>
  <c r="P419" i="17" s="1"/>
  <c r="R415" i="17"/>
  <c r="R378" i="17"/>
  <c r="T304" i="17"/>
  <c r="U174" i="17"/>
  <c r="O165" i="17"/>
  <c r="L159" i="17"/>
  <c r="L163" i="17"/>
  <c r="O163" i="17" s="1"/>
  <c r="O357" i="17"/>
  <c r="R320" i="17"/>
  <c r="U320" i="17" s="1"/>
  <c r="U321" i="17"/>
  <c r="U271" i="17"/>
  <c r="R268" i="17"/>
  <c r="R266" i="17" s="1"/>
  <c r="R269" i="17"/>
  <c r="O267" i="17"/>
  <c r="S555" i="17"/>
  <c r="N536" i="17"/>
  <c r="N534" i="17" s="1"/>
  <c r="M515" i="17"/>
  <c r="P515" i="17" s="1"/>
  <c r="L496" i="17"/>
  <c r="O496" i="17" s="1"/>
  <c r="L495" i="17"/>
  <c r="N416" i="17"/>
  <c r="O416" i="17" s="1"/>
  <c r="L378" i="17"/>
  <c r="O364" i="17"/>
  <c r="L362" i="17"/>
  <c r="O362" i="17" s="1"/>
  <c r="R356" i="17"/>
  <c r="U356" i="17" s="1"/>
  <c r="U357" i="17"/>
  <c r="N335" i="17"/>
  <c r="O338" i="17"/>
  <c r="N336" i="17"/>
  <c r="O336" i="17" s="1"/>
  <c r="T321" i="17"/>
  <c r="Q320" i="17"/>
  <c r="T320" i="17" s="1"/>
  <c r="Q305" i="17"/>
  <c r="T305" i="17" s="1"/>
  <c r="T308" i="17"/>
  <c r="Q306" i="17"/>
  <c r="U267" i="17"/>
  <c r="L189" i="17"/>
  <c r="O191" i="17"/>
  <c r="S19" i="17"/>
  <c r="P418" i="17"/>
  <c r="M416" i="17"/>
  <c r="M415" i="17"/>
  <c r="M413" i="17" s="1"/>
  <c r="Q395" i="17"/>
  <c r="T395" i="17" s="1"/>
  <c r="Q394" i="17"/>
  <c r="T394" i="17" s="1"/>
  <c r="T397" i="17"/>
  <c r="Q356" i="17"/>
  <c r="T356" i="17" s="1"/>
  <c r="T357" i="17"/>
  <c r="M336" i="17"/>
  <c r="P338" i="17"/>
  <c r="L335" i="17"/>
  <c r="I280" i="17"/>
  <c r="K280" i="17" s="1"/>
  <c r="K293" i="17"/>
  <c r="K249" i="17"/>
  <c r="I242" i="17"/>
  <c r="Q192" i="17"/>
  <c r="T192" i="17" s="1"/>
  <c r="T498" i="17"/>
  <c r="Q496" i="17"/>
  <c r="T496" i="17" s="1"/>
  <c r="R496" i="17"/>
  <c r="U496" i="17" s="1"/>
  <c r="R495" i="17"/>
  <c r="L415" i="17"/>
  <c r="M392" i="17"/>
  <c r="P392" i="17" s="1"/>
  <c r="M309" i="17"/>
  <c r="P309" i="17" s="1"/>
  <c r="P274" i="17"/>
  <c r="M272" i="17"/>
  <c r="P272" i="17" s="1"/>
  <c r="M175" i="17"/>
  <c r="P144" i="17"/>
  <c r="M142" i="17"/>
  <c r="M141" i="17"/>
  <c r="L339" i="17"/>
  <c r="O339" i="17" s="1"/>
  <c r="O321" i="17"/>
  <c r="U304" i="17"/>
  <c r="T283" i="17"/>
  <c r="Q282" i="17"/>
  <c r="T282" i="17" s="1"/>
  <c r="O271" i="17"/>
  <c r="L268" i="17"/>
  <c r="Q188" i="17"/>
  <c r="O178" i="17"/>
  <c r="L176" i="17"/>
  <c r="L175" i="17"/>
  <c r="L173" i="17" s="1"/>
  <c r="O174" i="17"/>
  <c r="O328" i="17"/>
  <c r="O325" i="17"/>
  <c r="M322" i="17"/>
  <c r="P322" i="17" s="1"/>
  <c r="P321" i="17"/>
  <c r="P308" i="17"/>
  <c r="M305" i="17"/>
  <c r="L284" i="17"/>
  <c r="M268" i="17"/>
  <c r="L243" i="17"/>
  <c r="L203" i="17"/>
  <c r="O203" i="17" s="1"/>
  <c r="U194" i="17"/>
  <c r="U189" i="17"/>
  <c r="Q189" i="17"/>
  <c r="T189" i="17" s="1"/>
  <c r="R188" i="17"/>
  <c r="R186" i="17" s="1"/>
  <c r="R160" i="17"/>
  <c r="U160" i="17" s="1"/>
  <c r="K154" i="17"/>
  <c r="I136" i="17"/>
  <c r="K136" i="17" s="1"/>
  <c r="U95" i="17"/>
  <c r="S333" i="17"/>
  <c r="L322" i="17"/>
  <c r="O322" i="17" s="1"/>
  <c r="U308" i="17"/>
  <c r="O308" i="17"/>
  <c r="U283" i="17"/>
  <c r="K229" i="17"/>
  <c r="N189" i="17"/>
  <c r="U19" i="17"/>
  <c r="N175" i="17"/>
  <c r="N173" i="17" s="1"/>
  <c r="N160" i="17"/>
  <c r="P162" i="17"/>
  <c r="S145" i="17"/>
  <c r="U145" i="17" s="1"/>
  <c r="U147" i="17"/>
  <c r="P47" i="17"/>
  <c r="P191" i="17"/>
  <c r="K172" i="17"/>
  <c r="L179" i="17"/>
  <c r="O179" i="17" s="1"/>
  <c r="T142" i="17"/>
  <c r="N119" i="17"/>
  <c r="N117" i="17" s="1"/>
  <c r="I82" i="17"/>
  <c r="N26" i="17"/>
  <c r="N24" i="17" s="1"/>
  <c r="P147" i="17"/>
  <c r="M145" i="17"/>
  <c r="P145" i="17" s="1"/>
  <c r="P140" i="17"/>
  <c r="U125" i="17"/>
  <c r="R123" i="17"/>
  <c r="U123" i="17" s="1"/>
  <c r="N96" i="17"/>
  <c r="N94" i="17" s="1"/>
  <c r="P52" i="17"/>
  <c r="M26" i="17"/>
  <c r="M24" i="17" s="1"/>
  <c r="M50" i="17"/>
  <c r="P50" i="17" s="1"/>
  <c r="O118" i="17"/>
  <c r="L26" i="17"/>
  <c r="P22" i="17"/>
  <c r="M19" i="17"/>
  <c r="R176" i="17"/>
  <c r="U176" i="17" s="1"/>
  <c r="R175" i="17"/>
  <c r="U175" i="17" s="1"/>
  <c r="U118" i="17"/>
  <c r="O95" i="17"/>
  <c r="R26" i="17"/>
  <c r="P67" i="17"/>
  <c r="M65" i="17"/>
  <c r="P65" i="17" s="1"/>
  <c r="P25" i="17"/>
  <c r="O19" i="17"/>
  <c r="T144" i="17"/>
  <c r="I116" i="17"/>
  <c r="K116" i="17" s="1"/>
  <c r="U80" i="17"/>
  <c r="O80" i="17"/>
  <c r="Q78" i="17"/>
  <c r="T78" i="17" s="1"/>
  <c r="U77" i="17"/>
  <c r="O77" i="17"/>
  <c r="Q75" i="17"/>
  <c r="T75" i="17" s="1"/>
  <c r="O64" i="17"/>
  <c r="N50" i="17"/>
  <c r="O49" i="17"/>
  <c r="N23" i="17"/>
  <c r="R119" i="17"/>
  <c r="L119" i="17"/>
  <c r="O119" i="17" s="1"/>
  <c r="R96" i="17"/>
  <c r="U96" i="17" s="1"/>
  <c r="L96" i="17"/>
  <c r="O96" i="17" s="1"/>
  <c r="N74" i="17"/>
  <c r="N72" i="17" s="1"/>
  <c r="N61" i="17"/>
  <c r="N46" i="17"/>
  <c r="N44" i="17" s="1"/>
  <c r="S26" i="17"/>
  <c r="S24" i="17" s="1"/>
  <c r="S23" i="17"/>
  <c r="S21" i="17" s="1"/>
  <c r="M23" i="17"/>
  <c r="M21" i="17" s="1"/>
  <c r="Q19" i="17"/>
  <c r="R141" i="17"/>
  <c r="L141" i="17"/>
  <c r="Q119" i="17"/>
  <c r="Q96" i="17"/>
  <c r="K85" i="17"/>
  <c r="S74" i="17"/>
  <c r="S72" i="17" s="1"/>
  <c r="M74" i="17"/>
  <c r="M61" i="17"/>
  <c r="M46" i="17"/>
  <c r="R23" i="17"/>
  <c r="L23" i="17"/>
  <c r="L123" i="17"/>
  <c r="O123" i="17" s="1"/>
  <c r="R120" i="17"/>
  <c r="U120" i="17" s="1"/>
  <c r="L120" i="17"/>
  <c r="O120" i="17" s="1"/>
  <c r="L100" i="17"/>
  <c r="O100" i="17" s="1"/>
  <c r="R97" i="17"/>
  <c r="U97" i="17" s="1"/>
  <c r="L97" i="17"/>
  <c r="O97" i="17" s="1"/>
  <c r="Q23" i="17"/>
  <c r="O285" i="16"/>
  <c r="L214" i="15"/>
  <c r="O214" i="15" s="1"/>
  <c r="P191" i="16"/>
  <c r="K346" i="13"/>
  <c r="J675" i="14"/>
  <c r="L236" i="14"/>
  <c r="K705" i="15"/>
  <c r="U645" i="15"/>
  <c r="K632" i="15"/>
  <c r="K369" i="15"/>
  <c r="Q160" i="15"/>
  <c r="T160" i="15" s="1"/>
  <c r="K774" i="16"/>
  <c r="R762" i="16"/>
  <c r="U762" i="16" s="1"/>
  <c r="T733" i="16"/>
  <c r="U644" i="16"/>
  <c r="K629" i="16"/>
  <c r="M561" i="16"/>
  <c r="P561" i="16" s="1"/>
  <c r="M557" i="16"/>
  <c r="P557" i="16" s="1"/>
  <c r="O542" i="16"/>
  <c r="L519" i="16"/>
  <c r="O519" i="16" s="1"/>
  <c r="S495" i="16"/>
  <c r="S493" i="16" s="1"/>
  <c r="L415" i="16"/>
  <c r="L413" i="16" s="1"/>
  <c r="Q416" i="16"/>
  <c r="U380" i="16"/>
  <c r="K369" i="16"/>
  <c r="N358" i="16"/>
  <c r="N356" i="16" s="1"/>
  <c r="J351" i="16"/>
  <c r="L336" i="16"/>
  <c r="O325" i="16"/>
  <c r="O287" i="16"/>
  <c r="Q268" i="16"/>
  <c r="T268" i="16" s="1"/>
  <c r="L235" i="16"/>
  <c r="L243" i="16"/>
  <c r="O243" i="16" s="1"/>
  <c r="L203" i="16"/>
  <c r="O203" i="16" s="1"/>
  <c r="T178" i="16"/>
  <c r="I169" i="16"/>
  <c r="K169" i="16" s="1"/>
  <c r="T144" i="16"/>
  <c r="M123" i="16"/>
  <c r="P123" i="16" s="1"/>
  <c r="O64" i="16"/>
  <c r="O62" i="16"/>
  <c r="M537" i="16"/>
  <c r="P537" i="16" s="1"/>
  <c r="M309" i="16"/>
  <c r="P309" i="16" s="1"/>
  <c r="S176" i="16"/>
  <c r="T176" i="16" s="1"/>
  <c r="N119" i="16"/>
  <c r="N117" i="16" s="1"/>
  <c r="P274" i="13"/>
  <c r="T607" i="14"/>
  <c r="T604" i="14"/>
  <c r="O581" i="14"/>
  <c r="K629" i="15"/>
  <c r="P498" i="15"/>
  <c r="O361" i="15"/>
  <c r="I302" i="15"/>
  <c r="K302" i="15" s="1"/>
  <c r="T162" i="15"/>
  <c r="Q763" i="16"/>
  <c r="J674" i="16"/>
  <c r="K674" i="16" s="1"/>
  <c r="N602" i="16"/>
  <c r="O602" i="16" s="1"/>
  <c r="L557" i="16"/>
  <c r="O557" i="16" s="1"/>
  <c r="O498" i="16"/>
  <c r="N495" i="16"/>
  <c r="N493" i="16" s="1"/>
  <c r="L416" i="16"/>
  <c r="O416" i="16" s="1"/>
  <c r="R395" i="16"/>
  <c r="U395" i="16" s="1"/>
  <c r="M378" i="16"/>
  <c r="P378" i="16" s="1"/>
  <c r="O364" i="16"/>
  <c r="M358" i="16"/>
  <c r="M356" i="16" s="1"/>
  <c r="O341" i="16"/>
  <c r="J332" i="16"/>
  <c r="K332" i="16" s="1"/>
  <c r="N322" i="16"/>
  <c r="N320" i="16" s="1"/>
  <c r="T305" i="16"/>
  <c r="M306" i="16"/>
  <c r="P306" i="16" s="1"/>
  <c r="N284" i="16"/>
  <c r="N282" i="16" s="1"/>
  <c r="I265" i="16"/>
  <c r="K265" i="16" s="1"/>
  <c r="L214" i="16"/>
  <c r="O214" i="16" s="1"/>
  <c r="N189" i="16"/>
  <c r="O189" i="16" s="1"/>
  <c r="P181" i="16"/>
  <c r="P178" i="16"/>
  <c r="M176" i="16"/>
  <c r="P176" i="16" s="1"/>
  <c r="K167" i="16"/>
  <c r="O147" i="16"/>
  <c r="S119" i="16"/>
  <c r="S117" i="16" s="1"/>
  <c r="P579" i="16"/>
  <c r="O418" i="13"/>
  <c r="L309" i="14"/>
  <c r="O309" i="14" s="1"/>
  <c r="L272" i="14"/>
  <c r="O272" i="14" s="1"/>
  <c r="L268" i="14"/>
  <c r="L266" i="14" s="1"/>
  <c r="L235" i="15"/>
  <c r="T125" i="15"/>
  <c r="P102" i="15"/>
  <c r="L46" i="15"/>
  <c r="L44" i="15" s="1"/>
  <c r="U730" i="16"/>
  <c r="K676" i="16"/>
  <c r="S645" i="16"/>
  <c r="T645" i="16" s="1"/>
  <c r="R642" i="16"/>
  <c r="U642" i="16" s="1"/>
  <c r="K632" i="16"/>
  <c r="Q619" i="16"/>
  <c r="Q605" i="16"/>
  <c r="T605" i="16" s="1"/>
  <c r="Q601" i="16"/>
  <c r="T601" i="16" s="1"/>
  <c r="M602" i="16"/>
  <c r="N515" i="16"/>
  <c r="N513" i="16" s="1"/>
  <c r="M415" i="16"/>
  <c r="M413" i="16" s="1"/>
  <c r="U397" i="16"/>
  <c r="P383" i="16"/>
  <c r="L378" i="16"/>
  <c r="O378" i="16" s="1"/>
  <c r="M362" i="16"/>
  <c r="P362" i="16" s="1"/>
  <c r="K346" i="16"/>
  <c r="M339" i="16"/>
  <c r="P339" i="16" s="1"/>
  <c r="L326" i="16"/>
  <c r="O326" i="16" s="1"/>
  <c r="O308" i="16"/>
  <c r="L305" i="16"/>
  <c r="O305" i="16" s="1"/>
  <c r="L288" i="16"/>
  <c r="O288" i="16" s="1"/>
  <c r="I238" i="16"/>
  <c r="K238" i="16" s="1"/>
  <c r="I221" i="16"/>
  <c r="K221" i="16" s="1"/>
  <c r="L188" i="16"/>
  <c r="L186" i="16" s="1"/>
  <c r="O181" i="16"/>
  <c r="U147" i="16"/>
  <c r="R119" i="16"/>
  <c r="R117" i="16" s="1"/>
  <c r="M100" i="16"/>
  <c r="P100" i="16" s="1"/>
  <c r="P64" i="16"/>
  <c r="L46" i="16"/>
  <c r="L44" i="16" s="1"/>
  <c r="M377" i="16"/>
  <c r="U191" i="14"/>
  <c r="K153" i="14"/>
  <c r="J701" i="15"/>
  <c r="P308" i="15"/>
  <c r="T99" i="15"/>
  <c r="O67" i="15"/>
  <c r="U765" i="16"/>
  <c r="K654" i="16"/>
  <c r="K626" i="16"/>
  <c r="S26" i="16"/>
  <c r="S24" i="16" s="1"/>
  <c r="P604" i="16"/>
  <c r="L601" i="16"/>
  <c r="L515" i="16"/>
  <c r="O515" i="16" s="1"/>
  <c r="O501" i="16"/>
  <c r="T498" i="16"/>
  <c r="P421" i="16"/>
  <c r="P418" i="16"/>
  <c r="L381" i="16"/>
  <c r="O381" i="16" s="1"/>
  <c r="L322" i="16"/>
  <c r="O322" i="16" s="1"/>
  <c r="N305" i="16"/>
  <c r="N303" i="16" s="1"/>
  <c r="L284" i="16"/>
  <c r="K198" i="16"/>
  <c r="Q188" i="16"/>
  <c r="Q186" i="16" s="1"/>
  <c r="N159" i="16"/>
  <c r="N157" i="16" s="1"/>
  <c r="Q141" i="16"/>
  <c r="S141" i="16"/>
  <c r="S139" i="16" s="1"/>
  <c r="I93" i="16"/>
  <c r="K93" i="16" s="1"/>
  <c r="R74" i="16"/>
  <c r="R72" i="16" s="1"/>
  <c r="L74" i="16"/>
  <c r="L72" i="16" s="1"/>
  <c r="Q75" i="16"/>
  <c r="L65" i="16"/>
  <c r="O65" i="16" s="1"/>
  <c r="R728" i="16"/>
  <c r="U728" i="16" s="1"/>
  <c r="T762" i="16"/>
  <c r="Q760" i="16"/>
  <c r="S760" i="16"/>
  <c r="N536" i="16"/>
  <c r="N534" i="16" s="1"/>
  <c r="J702" i="14"/>
  <c r="K229" i="14"/>
  <c r="P49" i="14"/>
  <c r="P604" i="15"/>
  <c r="P501" i="15"/>
  <c r="L378" i="15"/>
  <c r="O378" i="15" s="1"/>
  <c r="K368" i="15"/>
  <c r="U144" i="15"/>
  <c r="M141" i="15"/>
  <c r="P141" i="15" s="1"/>
  <c r="I137" i="15"/>
  <c r="K137" i="15" s="1"/>
  <c r="S119" i="15"/>
  <c r="S117" i="15" s="1"/>
  <c r="P77" i="15"/>
  <c r="T765" i="16"/>
  <c r="S763" i="16"/>
  <c r="U761" i="16"/>
  <c r="O761" i="16"/>
  <c r="R731" i="16"/>
  <c r="T729" i="16"/>
  <c r="T715" i="16"/>
  <c r="T695" i="16"/>
  <c r="J675" i="16"/>
  <c r="K675" i="16" s="1"/>
  <c r="R618" i="16"/>
  <c r="U618" i="16" s="1"/>
  <c r="U607" i="16"/>
  <c r="R601" i="16"/>
  <c r="N557" i="16"/>
  <c r="N555" i="16" s="1"/>
  <c r="U535" i="16"/>
  <c r="P521" i="16"/>
  <c r="K504" i="16"/>
  <c r="J503" i="16"/>
  <c r="J492" i="16" s="1"/>
  <c r="M285" i="16"/>
  <c r="P285" i="16" s="1"/>
  <c r="M284" i="16"/>
  <c r="M282" i="16" s="1"/>
  <c r="O140" i="16"/>
  <c r="I92" i="16"/>
  <c r="K92" i="16" s="1"/>
  <c r="K108" i="16"/>
  <c r="U99" i="16"/>
  <c r="R97" i="16"/>
  <c r="U97" i="16" s="1"/>
  <c r="R23" i="16"/>
  <c r="R21" i="16" s="1"/>
  <c r="R96" i="16"/>
  <c r="U96" i="16" s="1"/>
  <c r="L145" i="15"/>
  <c r="O145" i="15" s="1"/>
  <c r="J702" i="13"/>
  <c r="T122" i="14"/>
  <c r="J702" i="15"/>
  <c r="O604" i="15"/>
  <c r="M582" i="15"/>
  <c r="P582" i="15" s="1"/>
  <c r="P563" i="15"/>
  <c r="O501" i="15"/>
  <c r="P364" i="15"/>
  <c r="L309" i="15"/>
  <c r="O309" i="15" s="1"/>
  <c r="P287" i="15"/>
  <c r="K252" i="15"/>
  <c r="L243" i="15"/>
  <c r="O243" i="15" s="1"/>
  <c r="K183" i="15"/>
  <c r="R119" i="15"/>
  <c r="R117" i="15" s="1"/>
  <c r="K772" i="16"/>
  <c r="Q692" i="16"/>
  <c r="J689" i="16"/>
  <c r="K689" i="16" s="1"/>
  <c r="U643" i="16"/>
  <c r="U621" i="16"/>
  <c r="S616" i="16"/>
  <c r="T616" i="16" s="1"/>
  <c r="L616" i="16"/>
  <c r="O616" i="16" s="1"/>
  <c r="N578" i="16"/>
  <c r="N576" i="16" s="1"/>
  <c r="M516" i="16"/>
  <c r="P516" i="16" s="1"/>
  <c r="M515" i="16"/>
  <c r="K503" i="16"/>
  <c r="I492" i="16"/>
  <c r="K492" i="16" s="1"/>
  <c r="R282" i="16"/>
  <c r="U282" i="16" s="1"/>
  <c r="U283" i="16"/>
  <c r="P73" i="16"/>
  <c r="R605" i="13"/>
  <c r="U605" i="13" s="1"/>
  <c r="K456" i="15"/>
  <c r="P361" i="15"/>
  <c r="L306" i="15"/>
  <c r="O306" i="15" s="1"/>
  <c r="T647" i="16"/>
  <c r="Q644" i="16"/>
  <c r="T644" i="16" s="1"/>
  <c r="T557" i="16"/>
  <c r="I423" i="16"/>
  <c r="S416" i="16"/>
  <c r="T418" i="16"/>
  <c r="S415" i="16"/>
  <c r="S413" i="16" s="1"/>
  <c r="U413" i="16" s="1"/>
  <c r="N377" i="16"/>
  <c r="N375" i="16" s="1"/>
  <c r="L359" i="16"/>
  <c r="L358" i="16"/>
  <c r="L356" i="16" s="1"/>
  <c r="I281" i="16"/>
  <c r="K281" i="16" s="1"/>
  <c r="K292" i="16"/>
  <c r="P274" i="16"/>
  <c r="M272" i="16"/>
  <c r="P272" i="16" s="1"/>
  <c r="M26" i="16"/>
  <c r="P26" i="16" s="1"/>
  <c r="P52" i="16"/>
  <c r="M50" i="16"/>
  <c r="P50" i="16" s="1"/>
  <c r="N26" i="16"/>
  <c r="N24" i="16" s="1"/>
  <c r="P600" i="16"/>
  <c r="K774" i="14"/>
  <c r="P125" i="14"/>
  <c r="U733" i="15"/>
  <c r="K679" i="15"/>
  <c r="K676" i="15"/>
  <c r="K631" i="15"/>
  <c r="L495" i="15"/>
  <c r="O495" i="15" s="1"/>
  <c r="P338" i="15"/>
  <c r="P285" i="15"/>
  <c r="L50" i="15"/>
  <c r="O50" i="15" s="1"/>
  <c r="I701" i="16"/>
  <c r="K703" i="16"/>
  <c r="T693" i="16"/>
  <c r="T691" i="16"/>
  <c r="K575" i="16"/>
  <c r="R495" i="16"/>
  <c r="U495" i="16" s="1"/>
  <c r="R496" i="16"/>
  <c r="U496" i="16" s="1"/>
  <c r="P357" i="16"/>
  <c r="Q333" i="16"/>
  <c r="T333" i="16" s="1"/>
  <c r="R306" i="16"/>
  <c r="R305" i="16"/>
  <c r="U305" i="16" s="1"/>
  <c r="U308" i="16"/>
  <c r="P187" i="16"/>
  <c r="P99" i="16"/>
  <c r="M96" i="16"/>
  <c r="M97" i="16"/>
  <c r="P97" i="16" s="1"/>
  <c r="P75" i="15"/>
  <c r="R690" i="16"/>
  <c r="K630" i="15"/>
  <c r="L519" i="15"/>
  <c r="O519" i="15" s="1"/>
  <c r="L496" i="15"/>
  <c r="O496" i="15" s="1"/>
  <c r="K386" i="15"/>
  <c r="O338" i="15"/>
  <c r="O285" i="15"/>
  <c r="O271" i="15"/>
  <c r="K260" i="15"/>
  <c r="K154" i="15"/>
  <c r="Q145" i="15"/>
  <c r="T145" i="15" s="1"/>
  <c r="I83" i="15"/>
  <c r="K83" i="15" s="1"/>
  <c r="R74" i="15"/>
  <c r="R72" i="15" s="1"/>
  <c r="P64" i="15"/>
  <c r="L47" i="15"/>
  <c r="O47" i="15" s="1"/>
  <c r="U733" i="16"/>
  <c r="O691" i="16"/>
  <c r="T618" i="16"/>
  <c r="P617" i="16"/>
  <c r="O607" i="16"/>
  <c r="O604" i="16"/>
  <c r="P501" i="16"/>
  <c r="L496" i="16"/>
  <c r="O496" i="16" s="1"/>
  <c r="U267" i="16"/>
  <c r="U158" i="16"/>
  <c r="U73" i="16"/>
  <c r="S19" i="16"/>
  <c r="O22" i="16"/>
  <c r="L19" i="16"/>
  <c r="R693" i="16"/>
  <c r="U693" i="16" s="1"/>
  <c r="R645" i="16"/>
  <c r="T643" i="16"/>
  <c r="T621" i="16"/>
  <c r="S619" i="16"/>
  <c r="U617" i="16"/>
  <c r="O617" i="16"/>
  <c r="T604" i="16"/>
  <c r="P581" i="16"/>
  <c r="L579" i="16"/>
  <c r="O579" i="16" s="1"/>
  <c r="T577" i="16"/>
  <c r="L561" i="16"/>
  <c r="O561" i="16" s="1"/>
  <c r="P539" i="16"/>
  <c r="L537" i="16"/>
  <c r="O537" i="16" s="1"/>
  <c r="T535" i="16"/>
  <c r="N519" i="16"/>
  <c r="U515" i="16"/>
  <c r="M495" i="16"/>
  <c r="P495" i="16" s="1"/>
  <c r="T414" i="16"/>
  <c r="Q392" i="16"/>
  <c r="T392" i="16" s="1"/>
  <c r="R392" i="16"/>
  <c r="U392" i="16" s="1"/>
  <c r="K388" i="16"/>
  <c r="I374" i="16"/>
  <c r="P338" i="16"/>
  <c r="N336" i="16"/>
  <c r="N335" i="16"/>
  <c r="N333" i="16" s="1"/>
  <c r="T321" i="16"/>
  <c r="O311" i="16"/>
  <c r="T271" i="16"/>
  <c r="O271" i="16"/>
  <c r="L269" i="16"/>
  <c r="P165" i="16"/>
  <c r="M163" i="16"/>
  <c r="P163" i="16" s="1"/>
  <c r="N141" i="16"/>
  <c r="N139" i="16" s="1"/>
  <c r="N23" i="16"/>
  <c r="P122" i="16"/>
  <c r="M120" i="16"/>
  <c r="P120" i="16" s="1"/>
  <c r="M119" i="16"/>
  <c r="O581" i="16"/>
  <c r="O539" i="16"/>
  <c r="Q513" i="16"/>
  <c r="T513" i="16" s="1"/>
  <c r="P498" i="16"/>
  <c r="K457" i="16"/>
  <c r="Q377" i="16"/>
  <c r="T377" i="16" s="1"/>
  <c r="R356" i="16"/>
  <c r="U356" i="16" s="1"/>
  <c r="U334" i="16"/>
  <c r="M333" i="16"/>
  <c r="P328" i="16"/>
  <c r="S320" i="16"/>
  <c r="I319" i="16"/>
  <c r="K319" i="16" s="1"/>
  <c r="S303" i="16"/>
  <c r="L234" i="16"/>
  <c r="K371" i="16"/>
  <c r="R142" i="16"/>
  <c r="U142" i="16" s="1"/>
  <c r="R141" i="16"/>
  <c r="U141" i="16" s="1"/>
  <c r="U122" i="16"/>
  <c r="R120" i="16"/>
  <c r="M62" i="16"/>
  <c r="P62" i="16" s="1"/>
  <c r="M61" i="16"/>
  <c r="U695" i="16"/>
  <c r="U647" i="16"/>
  <c r="P416" i="16"/>
  <c r="S394" i="16"/>
  <c r="S392" i="16" s="1"/>
  <c r="M322" i="16"/>
  <c r="P322" i="16" s="1"/>
  <c r="P304" i="16"/>
  <c r="Q303" i="16"/>
  <c r="L254" i="16"/>
  <c r="O254" i="16" s="1"/>
  <c r="N232" i="16"/>
  <c r="O194" i="16"/>
  <c r="R176" i="16"/>
  <c r="R175" i="16"/>
  <c r="U175" i="16" s="1"/>
  <c r="U178" i="16"/>
  <c r="L175" i="16"/>
  <c r="L176" i="16"/>
  <c r="O176" i="16" s="1"/>
  <c r="K87" i="16"/>
  <c r="I83" i="16"/>
  <c r="Q26" i="16"/>
  <c r="S75" i="16"/>
  <c r="U75" i="16" s="1"/>
  <c r="S74" i="16"/>
  <c r="T77" i="16"/>
  <c r="U77" i="16"/>
  <c r="S23" i="16"/>
  <c r="M75" i="16"/>
  <c r="P75" i="16" s="1"/>
  <c r="M74" i="16"/>
  <c r="U418" i="16"/>
  <c r="O418" i="16"/>
  <c r="Q395" i="16"/>
  <c r="T395" i="16" s="1"/>
  <c r="U357" i="16"/>
  <c r="O357" i="16"/>
  <c r="P321" i="16"/>
  <c r="T308" i="16"/>
  <c r="O274" i="16"/>
  <c r="L272" i="16"/>
  <c r="O272" i="16" s="1"/>
  <c r="N269" i="16"/>
  <c r="T267" i="16"/>
  <c r="J231" i="16"/>
  <c r="J185" i="16" s="1"/>
  <c r="L233" i="16"/>
  <c r="O191" i="16"/>
  <c r="R188" i="16"/>
  <c r="R186" i="16" s="1"/>
  <c r="T162" i="16"/>
  <c r="O162" i="16"/>
  <c r="L160" i="16"/>
  <c r="L23" i="16"/>
  <c r="R59" i="16"/>
  <c r="U59" i="16" s="1"/>
  <c r="N415" i="16"/>
  <c r="N413" i="16" s="1"/>
  <c r="R377" i="16"/>
  <c r="U377" i="16" s="1"/>
  <c r="L377" i="16"/>
  <c r="O377" i="16" s="1"/>
  <c r="I365" i="16"/>
  <c r="K365" i="16" s="1"/>
  <c r="P361" i="16"/>
  <c r="L335" i="16"/>
  <c r="M305" i="16"/>
  <c r="P305" i="16" s="1"/>
  <c r="S282" i="16"/>
  <c r="O283" i="16"/>
  <c r="P271" i="16"/>
  <c r="M269" i="16"/>
  <c r="M268" i="16"/>
  <c r="I137" i="16"/>
  <c r="K137" i="16" s="1"/>
  <c r="K152" i="16"/>
  <c r="P147" i="16"/>
  <c r="M145" i="16"/>
  <c r="P145" i="16" s="1"/>
  <c r="S269" i="16"/>
  <c r="T269" i="16" s="1"/>
  <c r="O25" i="16"/>
  <c r="U19" i="16"/>
  <c r="T397" i="16"/>
  <c r="K293" i="16"/>
  <c r="P283" i="16"/>
  <c r="Q282" i="16"/>
  <c r="T282" i="16" s="1"/>
  <c r="U271" i="16"/>
  <c r="R269" i="16"/>
  <c r="R268" i="16"/>
  <c r="U268" i="16" s="1"/>
  <c r="U189" i="16"/>
  <c r="U125" i="16"/>
  <c r="R123" i="16"/>
  <c r="U123" i="16" s="1"/>
  <c r="R26" i="16"/>
  <c r="N96" i="16"/>
  <c r="N94" i="16" s="1"/>
  <c r="P60" i="16"/>
  <c r="K249" i="16"/>
  <c r="I242" i="16"/>
  <c r="Q175" i="16"/>
  <c r="T175" i="16" s="1"/>
  <c r="O165" i="16"/>
  <c r="L163" i="16"/>
  <c r="O163" i="16" s="1"/>
  <c r="N160" i="16"/>
  <c r="T158" i="16"/>
  <c r="U140" i="16"/>
  <c r="Q119" i="16"/>
  <c r="Q117" i="16" s="1"/>
  <c r="Q96" i="16"/>
  <c r="T96" i="16" s="1"/>
  <c r="U25" i="16"/>
  <c r="M23" i="16"/>
  <c r="M21" i="16" s="1"/>
  <c r="S188" i="16"/>
  <c r="M188" i="16"/>
  <c r="T174" i="16"/>
  <c r="M160" i="16"/>
  <c r="M159" i="16"/>
  <c r="N120" i="16"/>
  <c r="T118" i="16"/>
  <c r="O102" i="16"/>
  <c r="L100" i="16"/>
  <c r="O100" i="16" s="1"/>
  <c r="N97" i="16"/>
  <c r="T95" i="16"/>
  <c r="N74" i="16"/>
  <c r="M65" i="16"/>
  <c r="P65" i="16" s="1"/>
  <c r="S59" i="16"/>
  <c r="L50" i="16"/>
  <c r="O50" i="16" s="1"/>
  <c r="R44" i="16"/>
  <c r="U44" i="16" s="1"/>
  <c r="Q19" i="16"/>
  <c r="K260" i="16"/>
  <c r="K220" i="16"/>
  <c r="M192" i="16"/>
  <c r="P192" i="16" s="1"/>
  <c r="M189" i="16"/>
  <c r="U187" i="16"/>
  <c r="O187" i="16"/>
  <c r="K183" i="16"/>
  <c r="O174" i="16"/>
  <c r="S160" i="16"/>
  <c r="P144" i="16"/>
  <c r="M142" i="16"/>
  <c r="P142" i="16" s="1"/>
  <c r="M141" i="16"/>
  <c r="P141" i="16" s="1"/>
  <c r="T125" i="16"/>
  <c r="O125" i="16"/>
  <c r="L123" i="16"/>
  <c r="O123" i="16" s="1"/>
  <c r="T122" i="16"/>
  <c r="O122" i="16"/>
  <c r="L120" i="16"/>
  <c r="O120" i="16" s="1"/>
  <c r="L119" i="16"/>
  <c r="O119" i="16" s="1"/>
  <c r="O118" i="16"/>
  <c r="K116" i="16"/>
  <c r="T99" i="16"/>
  <c r="O99" i="16"/>
  <c r="L97" i="16"/>
  <c r="O97" i="16" s="1"/>
  <c r="L96" i="16"/>
  <c r="O96" i="16" s="1"/>
  <c r="O95" i="16"/>
  <c r="I82" i="16"/>
  <c r="P80" i="16"/>
  <c r="L61" i="16"/>
  <c r="N46" i="16"/>
  <c r="U22" i="16"/>
  <c r="M19" i="16"/>
  <c r="U174" i="16"/>
  <c r="U162" i="16"/>
  <c r="R160" i="16"/>
  <c r="U160" i="16" s="1"/>
  <c r="R159" i="16"/>
  <c r="U159" i="16" s="1"/>
  <c r="L141" i="16"/>
  <c r="O141" i="16" s="1"/>
  <c r="S120" i="16"/>
  <c r="T120" i="16" s="1"/>
  <c r="U118" i="16"/>
  <c r="S97" i="16"/>
  <c r="U95" i="16"/>
  <c r="U80" i="16"/>
  <c r="N61" i="16"/>
  <c r="N59" i="16" s="1"/>
  <c r="P49" i="16"/>
  <c r="M46" i="16"/>
  <c r="M44" i="16" s="1"/>
  <c r="P45" i="16"/>
  <c r="L26" i="16"/>
  <c r="O26" i="16" s="1"/>
  <c r="Q23" i="16"/>
  <c r="R714" i="15"/>
  <c r="U714" i="15" s="1"/>
  <c r="L578" i="15"/>
  <c r="O578" i="15" s="1"/>
  <c r="L579" i="15"/>
  <c r="O579" i="15" s="1"/>
  <c r="O581" i="15"/>
  <c r="L515" i="15"/>
  <c r="O515" i="15" s="1"/>
  <c r="L516" i="15"/>
  <c r="O516" i="15" s="1"/>
  <c r="O518" i="15"/>
  <c r="M416" i="15"/>
  <c r="P418" i="15"/>
  <c r="L288" i="15"/>
  <c r="O288" i="15" s="1"/>
  <c r="O290" i="15"/>
  <c r="M123" i="15"/>
  <c r="P123" i="15" s="1"/>
  <c r="P125" i="15"/>
  <c r="O102" i="15"/>
  <c r="L100" i="15"/>
  <c r="O100" i="15" s="1"/>
  <c r="U619" i="10"/>
  <c r="P162" i="13"/>
  <c r="K785" i="15"/>
  <c r="K782" i="15"/>
  <c r="K779" i="15"/>
  <c r="N760" i="15"/>
  <c r="Q714" i="15"/>
  <c r="T714" i="15" s="1"/>
  <c r="L690" i="15"/>
  <c r="O690" i="15" s="1"/>
  <c r="Q644" i="15"/>
  <c r="Q642" i="15" s="1"/>
  <c r="Q645" i="15"/>
  <c r="T645" i="15" s="1"/>
  <c r="R618" i="15"/>
  <c r="R616" i="15" s="1"/>
  <c r="R619" i="15"/>
  <c r="U619" i="15" s="1"/>
  <c r="M605" i="15"/>
  <c r="P605" i="15" s="1"/>
  <c r="K458" i="15"/>
  <c r="K441" i="15"/>
  <c r="Q356" i="15"/>
  <c r="T356" i="15" s="1"/>
  <c r="Q282" i="15"/>
  <c r="T282" i="15" s="1"/>
  <c r="T284" i="15"/>
  <c r="P194" i="15"/>
  <c r="M192" i="15"/>
  <c r="P192" i="15" s="1"/>
  <c r="P187" i="15"/>
  <c r="M163" i="15"/>
  <c r="P163" i="15" s="1"/>
  <c r="P165" i="15"/>
  <c r="U162" i="15"/>
  <c r="R159" i="15"/>
  <c r="U159" i="15" s="1"/>
  <c r="K86" i="15"/>
  <c r="I82" i="15"/>
  <c r="K82" i="15" s="1"/>
  <c r="R19" i="15"/>
  <c r="U22" i="15"/>
  <c r="K785" i="14"/>
  <c r="K779" i="14"/>
  <c r="T731" i="14"/>
  <c r="S730" i="14"/>
  <c r="S728" i="14" s="1"/>
  <c r="M760" i="15"/>
  <c r="P760" i="15" s="1"/>
  <c r="M728" i="15"/>
  <c r="P728" i="15" s="1"/>
  <c r="J675" i="15"/>
  <c r="K675" i="15" s="1"/>
  <c r="L605" i="15"/>
  <c r="O605" i="15" s="1"/>
  <c r="M519" i="15"/>
  <c r="P519" i="15" s="1"/>
  <c r="P521" i="15"/>
  <c r="U380" i="15"/>
  <c r="R378" i="15"/>
  <c r="U378" i="15" s="1"/>
  <c r="R377" i="15"/>
  <c r="R375" i="15" s="1"/>
  <c r="R356" i="15"/>
  <c r="U356" i="15" s="1"/>
  <c r="U357" i="15"/>
  <c r="Q269" i="15"/>
  <c r="Q268" i="15"/>
  <c r="Q266" i="15" s="1"/>
  <c r="Q175" i="15"/>
  <c r="Q176" i="15"/>
  <c r="T178" i="15"/>
  <c r="I92" i="15"/>
  <c r="K92" i="15" s="1"/>
  <c r="Q59" i="15"/>
  <c r="T59" i="15" s="1"/>
  <c r="T60" i="15"/>
  <c r="O165" i="11"/>
  <c r="N268" i="13"/>
  <c r="N266" i="13" s="1"/>
  <c r="R730" i="14"/>
  <c r="R728" i="14" s="1"/>
  <c r="J701" i="14"/>
  <c r="K632" i="14"/>
  <c r="Q395" i="14"/>
  <c r="T395" i="14" s="1"/>
  <c r="R189" i="14"/>
  <c r="K784" i="15"/>
  <c r="K781" i="15"/>
  <c r="K778" i="15"/>
  <c r="K758" i="15"/>
  <c r="L760" i="15"/>
  <c r="O760" i="15" s="1"/>
  <c r="S728" i="15"/>
  <c r="L728" i="15"/>
  <c r="O728" i="15" s="1"/>
  <c r="Q693" i="15"/>
  <c r="T693" i="15" s="1"/>
  <c r="M537" i="15"/>
  <c r="P537" i="15" s="1"/>
  <c r="P539" i="15"/>
  <c r="P336" i="15"/>
  <c r="R282" i="15"/>
  <c r="U282" i="15" s="1"/>
  <c r="K251" i="15"/>
  <c r="I156" i="15"/>
  <c r="K156" i="15" s="1"/>
  <c r="I168" i="15"/>
  <c r="K168" i="15" s="1"/>
  <c r="Q119" i="15"/>
  <c r="Q120" i="15"/>
  <c r="T122" i="15"/>
  <c r="Q74" i="15"/>
  <c r="Q72" i="15" s="1"/>
  <c r="T77" i="15"/>
  <c r="K631" i="14"/>
  <c r="O563" i="14"/>
  <c r="S493" i="14"/>
  <c r="T178" i="14"/>
  <c r="S731" i="15"/>
  <c r="T731" i="15" s="1"/>
  <c r="I701" i="15"/>
  <c r="K673" i="15"/>
  <c r="M558" i="15"/>
  <c r="P558" i="15" s="1"/>
  <c r="L536" i="15"/>
  <c r="O536" i="15" s="1"/>
  <c r="L537" i="15"/>
  <c r="O537" i="15" s="1"/>
  <c r="O539" i="15"/>
  <c r="J503" i="15"/>
  <c r="J492" i="15" s="1"/>
  <c r="K504" i="15"/>
  <c r="S395" i="15"/>
  <c r="S394" i="15"/>
  <c r="S392" i="15" s="1"/>
  <c r="N306" i="15"/>
  <c r="N305" i="15"/>
  <c r="N303" i="15" s="1"/>
  <c r="L272" i="15"/>
  <c r="O272" i="15" s="1"/>
  <c r="O274" i="15"/>
  <c r="R160" i="15"/>
  <c r="U160" i="15" s="1"/>
  <c r="P49" i="15"/>
  <c r="R44" i="15"/>
  <c r="U44" i="15" s="1"/>
  <c r="P602" i="13"/>
  <c r="L582" i="13"/>
  <c r="O582" i="13" s="1"/>
  <c r="T397" i="14"/>
  <c r="O341" i="14"/>
  <c r="K220" i="14"/>
  <c r="S188" i="14"/>
  <c r="S186" i="14" s="1"/>
  <c r="K783" i="15"/>
  <c r="K780" i="15"/>
  <c r="S762" i="15"/>
  <c r="S760" i="15" s="1"/>
  <c r="R730" i="15"/>
  <c r="U730" i="15" s="1"/>
  <c r="S714" i="15"/>
  <c r="L714" i="15"/>
  <c r="O714" i="15" s="1"/>
  <c r="N690" i="15"/>
  <c r="J674" i="15"/>
  <c r="K674" i="15" s="1"/>
  <c r="M578" i="15"/>
  <c r="P578" i="15" s="1"/>
  <c r="M579" i="15"/>
  <c r="P579" i="15" s="1"/>
  <c r="P581" i="15"/>
  <c r="N415" i="15"/>
  <c r="N413" i="15" s="1"/>
  <c r="K280" i="15"/>
  <c r="K229" i="15"/>
  <c r="L159" i="15"/>
  <c r="L157" i="15" s="1"/>
  <c r="K153" i="15"/>
  <c r="S96" i="15"/>
  <c r="S94" i="15" s="1"/>
  <c r="S97" i="15"/>
  <c r="U97" i="15" s="1"/>
  <c r="M78" i="15"/>
  <c r="P78" i="15" s="1"/>
  <c r="P80" i="15"/>
  <c r="L61" i="15"/>
  <c r="L59" i="15" s="1"/>
  <c r="L62" i="15"/>
  <c r="O62" i="15" s="1"/>
  <c r="M616" i="15"/>
  <c r="P616" i="15" s="1"/>
  <c r="U604" i="15"/>
  <c r="O563" i="15"/>
  <c r="S555" i="15"/>
  <c r="U498" i="15"/>
  <c r="N495" i="15"/>
  <c r="N493" i="15" s="1"/>
  <c r="K440" i="15"/>
  <c r="Q416" i="15"/>
  <c r="T416" i="15" s="1"/>
  <c r="S377" i="15"/>
  <c r="S375" i="15" s="1"/>
  <c r="N358" i="15"/>
  <c r="N356" i="15" s="1"/>
  <c r="S333" i="15"/>
  <c r="U321" i="15"/>
  <c r="T308" i="15"/>
  <c r="S306" i="15"/>
  <c r="T306" i="15" s="1"/>
  <c r="O287" i="15"/>
  <c r="N284" i="15"/>
  <c r="N282" i="15" s="1"/>
  <c r="P274" i="15"/>
  <c r="I202" i="15"/>
  <c r="K202" i="15" s="1"/>
  <c r="T194" i="15"/>
  <c r="P181" i="15"/>
  <c r="U178" i="15"/>
  <c r="O178" i="15"/>
  <c r="Q157" i="15"/>
  <c r="T157" i="15" s="1"/>
  <c r="N160" i="15"/>
  <c r="U147" i="15"/>
  <c r="L141" i="15"/>
  <c r="L139" i="15" s="1"/>
  <c r="O139" i="15" s="1"/>
  <c r="U99" i="15"/>
  <c r="N74" i="15"/>
  <c r="N72" i="15" s="1"/>
  <c r="S44" i="15"/>
  <c r="Q44" i="15"/>
  <c r="T44" i="15" s="1"/>
  <c r="M601" i="15"/>
  <c r="M599" i="15" s="1"/>
  <c r="M495" i="15"/>
  <c r="P495" i="15" s="1"/>
  <c r="S496" i="15"/>
  <c r="N416" i="15"/>
  <c r="O416" i="15" s="1"/>
  <c r="M358" i="15"/>
  <c r="M356" i="15" s="1"/>
  <c r="M322" i="15"/>
  <c r="P322" i="15" s="1"/>
  <c r="L305" i="15"/>
  <c r="O305" i="15" s="1"/>
  <c r="K293" i="15"/>
  <c r="L284" i="15"/>
  <c r="R269" i="15"/>
  <c r="I238" i="15"/>
  <c r="K238" i="15" s="1"/>
  <c r="S188" i="15"/>
  <c r="S186" i="15" s="1"/>
  <c r="M188" i="15"/>
  <c r="M186" i="15" s="1"/>
  <c r="N175" i="15"/>
  <c r="N173" i="15" s="1"/>
  <c r="R141" i="15"/>
  <c r="U141" i="15" s="1"/>
  <c r="Q142" i="15"/>
  <c r="T142" i="15" s="1"/>
  <c r="N119" i="15"/>
  <c r="N117" i="15" s="1"/>
  <c r="K109" i="15"/>
  <c r="N19" i="15"/>
  <c r="R493" i="15"/>
  <c r="U493" i="15" s="1"/>
  <c r="R496" i="15"/>
  <c r="U496" i="15" s="1"/>
  <c r="J374" i="15"/>
  <c r="M381" i="15"/>
  <c r="P381" i="15" s="1"/>
  <c r="L358" i="15"/>
  <c r="M326" i="15"/>
  <c r="P326" i="15" s="1"/>
  <c r="S320" i="15"/>
  <c r="L268" i="15"/>
  <c r="L266" i="15" s="1"/>
  <c r="L269" i="15"/>
  <c r="O269" i="15" s="1"/>
  <c r="K195" i="15"/>
  <c r="M175" i="15"/>
  <c r="M173" i="15" s="1"/>
  <c r="M119" i="15"/>
  <c r="P119" i="15" s="1"/>
  <c r="L74" i="15"/>
  <c r="L72" i="15" s="1"/>
  <c r="N61" i="15"/>
  <c r="N59" i="15" s="1"/>
  <c r="M642" i="15"/>
  <c r="P642" i="15" s="1"/>
  <c r="Q601" i="15"/>
  <c r="T601" i="15" s="1"/>
  <c r="N578" i="15"/>
  <c r="N576" i="15" s="1"/>
  <c r="N536" i="15"/>
  <c r="N534" i="15" s="1"/>
  <c r="M515" i="15"/>
  <c r="P515" i="15" s="1"/>
  <c r="N515" i="15"/>
  <c r="N513" i="15" s="1"/>
  <c r="K433" i="15"/>
  <c r="K346" i="15"/>
  <c r="L254" i="15"/>
  <c r="O254" i="15" s="1"/>
  <c r="I242" i="15"/>
  <c r="K242" i="15" s="1"/>
  <c r="L222" i="15"/>
  <c r="O222" i="15" s="1"/>
  <c r="L203" i="15"/>
  <c r="O203" i="15" s="1"/>
  <c r="M189" i="15"/>
  <c r="P189" i="15" s="1"/>
  <c r="N176" i="15"/>
  <c r="O176" i="15" s="1"/>
  <c r="N159" i="15"/>
  <c r="N157" i="15" s="1"/>
  <c r="M159" i="15"/>
  <c r="N120" i="15"/>
  <c r="M96" i="15"/>
  <c r="L75" i="15"/>
  <c r="O75" i="15" s="1"/>
  <c r="P62" i="15"/>
  <c r="R59" i="15"/>
  <c r="U59" i="15" s="1"/>
  <c r="L19" i="15"/>
  <c r="U394" i="15"/>
  <c r="R392" i="15"/>
  <c r="U392" i="15" s="1"/>
  <c r="U763" i="15"/>
  <c r="T763" i="15"/>
  <c r="T619" i="15"/>
  <c r="Q690" i="15"/>
  <c r="U693" i="15"/>
  <c r="P577" i="15"/>
  <c r="J332" i="15"/>
  <c r="K332" i="15" s="1"/>
  <c r="J343" i="15"/>
  <c r="N415" i="14"/>
  <c r="N413" i="14" s="1"/>
  <c r="L419" i="15"/>
  <c r="O419" i="15" s="1"/>
  <c r="T414" i="15"/>
  <c r="Q413" i="15"/>
  <c r="P376" i="15"/>
  <c r="M309" i="15"/>
  <c r="P309" i="15" s="1"/>
  <c r="T125" i="12"/>
  <c r="K779" i="13"/>
  <c r="S730" i="13"/>
  <c r="U730" i="13" s="1"/>
  <c r="R495" i="13"/>
  <c r="U495" i="13" s="1"/>
  <c r="M322" i="13"/>
  <c r="M320" i="13" s="1"/>
  <c r="P320" i="13" s="1"/>
  <c r="O47" i="13"/>
  <c r="K784" i="14"/>
  <c r="K781" i="14"/>
  <c r="K778" i="14"/>
  <c r="K726" i="14"/>
  <c r="K703" i="14"/>
  <c r="K630" i="14"/>
  <c r="P581" i="14"/>
  <c r="T394" i="14"/>
  <c r="P380" i="14"/>
  <c r="P338" i="14"/>
  <c r="M323" i="14"/>
  <c r="P323" i="14" s="1"/>
  <c r="L234" i="14"/>
  <c r="P194" i="14"/>
  <c r="L175" i="14"/>
  <c r="L173" i="14" s="1"/>
  <c r="N175" i="14"/>
  <c r="N173" i="14" s="1"/>
  <c r="Q120" i="14"/>
  <c r="P80" i="14"/>
  <c r="U765" i="15"/>
  <c r="R762" i="15"/>
  <c r="P761" i="15"/>
  <c r="T733" i="15"/>
  <c r="Q730" i="15"/>
  <c r="T730" i="15" s="1"/>
  <c r="U729" i="15"/>
  <c r="O729" i="15"/>
  <c r="U715" i="15"/>
  <c r="O715" i="15"/>
  <c r="S692" i="15"/>
  <c r="T692" i="15" s="1"/>
  <c r="S644" i="15"/>
  <c r="S642" i="15" s="1"/>
  <c r="J626" i="15"/>
  <c r="R605" i="15"/>
  <c r="U605" i="15" s="1"/>
  <c r="T604" i="15"/>
  <c r="O602" i="15"/>
  <c r="N601" i="15"/>
  <c r="O600" i="15"/>
  <c r="R555" i="15"/>
  <c r="U555" i="15" s="1"/>
  <c r="O514" i="15"/>
  <c r="I412" i="15"/>
  <c r="K412" i="15" s="1"/>
  <c r="K423" i="15"/>
  <c r="L415" i="15"/>
  <c r="O418" i="15"/>
  <c r="M392" i="15"/>
  <c r="P392" i="15" s="1"/>
  <c r="M268" i="15"/>
  <c r="P271" i="15"/>
  <c r="M269" i="15"/>
  <c r="P269" i="15" s="1"/>
  <c r="T187" i="15"/>
  <c r="O125" i="15"/>
  <c r="L123" i="15"/>
  <c r="O123" i="15" s="1"/>
  <c r="L119" i="15"/>
  <c r="O119" i="15" s="1"/>
  <c r="O560" i="15"/>
  <c r="L558" i="15"/>
  <c r="O558" i="15" s="1"/>
  <c r="P518" i="15"/>
  <c r="M516" i="15"/>
  <c r="P516" i="15" s="1"/>
  <c r="Q496" i="15"/>
  <c r="T496" i="15" s="1"/>
  <c r="L243" i="14"/>
  <c r="O243" i="14" s="1"/>
  <c r="L214" i="14"/>
  <c r="O214" i="14" s="1"/>
  <c r="Q378" i="15"/>
  <c r="T378" i="15" s="1"/>
  <c r="T380" i="15"/>
  <c r="Q645" i="12"/>
  <c r="T645" i="12" s="1"/>
  <c r="U498" i="13"/>
  <c r="P80" i="13"/>
  <c r="O579" i="14"/>
  <c r="S496" i="14"/>
  <c r="R394" i="14"/>
  <c r="U394" i="14" s="1"/>
  <c r="S392" i="14"/>
  <c r="U194" i="14"/>
  <c r="O194" i="14"/>
  <c r="S141" i="14"/>
  <c r="S139" i="14" s="1"/>
  <c r="L74" i="14"/>
  <c r="L72" i="14" s="1"/>
  <c r="T765" i="15"/>
  <c r="Q762" i="15"/>
  <c r="U761" i="15"/>
  <c r="O761" i="15"/>
  <c r="T729" i="15"/>
  <c r="T715" i="15"/>
  <c r="U695" i="15"/>
  <c r="R692" i="15"/>
  <c r="P691" i="15"/>
  <c r="U647" i="15"/>
  <c r="R644" i="15"/>
  <c r="P643" i="15"/>
  <c r="S618" i="15"/>
  <c r="S601" i="15"/>
  <c r="S599" i="15" s="1"/>
  <c r="U600" i="15"/>
  <c r="Q555" i="15"/>
  <c r="T555" i="15" s="1"/>
  <c r="T556" i="15"/>
  <c r="O542" i="15"/>
  <c r="L540" i="15"/>
  <c r="O540" i="15" s="1"/>
  <c r="M540" i="15"/>
  <c r="P540" i="15" s="1"/>
  <c r="M536" i="15"/>
  <c r="P536" i="15" s="1"/>
  <c r="S513" i="15"/>
  <c r="P494" i="15"/>
  <c r="R415" i="15"/>
  <c r="U418" i="15"/>
  <c r="N377" i="15"/>
  <c r="N375" i="15" s="1"/>
  <c r="N378" i="15"/>
  <c r="N335" i="15"/>
  <c r="N333" i="15" s="1"/>
  <c r="S145" i="15"/>
  <c r="S141" i="15"/>
  <c r="S139" i="15" s="1"/>
  <c r="M419" i="15"/>
  <c r="P419" i="15" s="1"/>
  <c r="P421" i="15"/>
  <c r="K346" i="14"/>
  <c r="U187" i="15"/>
  <c r="J675" i="12"/>
  <c r="K781" i="13"/>
  <c r="N269" i="13"/>
  <c r="O269" i="13" s="1"/>
  <c r="L234" i="13"/>
  <c r="M188" i="13"/>
  <c r="M186" i="13" s="1"/>
  <c r="T178" i="13"/>
  <c r="K705" i="14"/>
  <c r="U607" i="14"/>
  <c r="P563" i="14"/>
  <c r="U397" i="14"/>
  <c r="K371" i="14"/>
  <c r="K368" i="14"/>
  <c r="P364" i="14"/>
  <c r="L362" i="14"/>
  <c r="O362" i="14" s="1"/>
  <c r="R306" i="14"/>
  <c r="K260" i="14"/>
  <c r="K198" i="14"/>
  <c r="T194" i="14"/>
  <c r="K772" i="15"/>
  <c r="T761" i="15"/>
  <c r="T695" i="15"/>
  <c r="U691" i="15"/>
  <c r="O691" i="15"/>
  <c r="T647" i="15"/>
  <c r="U643" i="15"/>
  <c r="O643" i="15"/>
  <c r="U621" i="15"/>
  <c r="P617" i="15"/>
  <c r="R601" i="15"/>
  <c r="U601" i="15" s="1"/>
  <c r="L601" i="15"/>
  <c r="O584" i="15"/>
  <c r="L582" i="15"/>
  <c r="O582" i="15" s="1"/>
  <c r="N557" i="15"/>
  <c r="N555" i="15" s="1"/>
  <c r="M557" i="15"/>
  <c r="P535" i="15"/>
  <c r="R513" i="15"/>
  <c r="U513" i="15" s="1"/>
  <c r="U514" i="15"/>
  <c r="Q513" i="15"/>
  <c r="T513" i="15" s="1"/>
  <c r="U495" i="15"/>
  <c r="S493" i="15"/>
  <c r="M415" i="15"/>
  <c r="S356" i="15"/>
  <c r="M339" i="15"/>
  <c r="P339" i="15" s="1"/>
  <c r="P341" i="15"/>
  <c r="M335" i="15"/>
  <c r="R395" i="15"/>
  <c r="U395" i="15" s="1"/>
  <c r="U397" i="15"/>
  <c r="T334" i="15"/>
  <c r="Q333" i="15"/>
  <c r="T333" i="15" s="1"/>
  <c r="K785" i="13"/>
  <c r="P514" i="15"/>
  <c r="Q394" i="15"/>
  <c r="T397" i="15"/>
  <c r="Q395" i="15"/>
  <c r="T395" i="15" s="1"/>
  <c r="L392" i="15"/>
  <c r="O392" i="15" s="1"/>
  <c r="O394" i="15"/>
  <c r="N322" i="15"/>
  <c r="N320" i="15" s="1"/>
  <c r="U647" i="12"/>
  <c r="K109" i="13"/>
  <c r="K330" i="14"/>
  <c r="S189" i="14"/>
  <c r="O67" i="14"/>
  <c r="O47" i="14"/>
  <c r="T621" i="15"/>
  <c r="Q602" i="15"/>
  <c r="T602" i="15" s="1"/>
  <c r="L557" i="15"/>
  <c r="O557" i="15" s="1"/>
  <c r="Q495" i="15"/>
  <c r="O383" i="15"/>
  <c r="L377" i="15"/>
  <c r="Q377" i="15"/>
  <c r="O341" i="15"/>
  <c r="L339" i="15"/>
  <c r="O339" i="15" s="1"/>
  <c r="L326" i="15"/>
  <c r="O326" i="15" s="1"/>
  <c r="O328" i="15"/>
  <c r="L322" i="15"/>
  <c r="O325" i="15"/>
  <c r="T271" i="15"/>
  <c r="S268" i="15"/>
  <c r="U271" i="15"/>
  <c r="S269" i="15"/>
  <c r="N163" i="15"/>
  <c r="S19" i="15"/>
  <c r="S415" i="15"/>
  <c r="T415" i="15" s="1"/>
  <c r="M377" i="15"/>
  <c r="P377" i="15" s="1"/>
  <c r="J351" i="15"/>
  <c r="U335" i="15"/>
  <c r="L335" i="15"/>
  <c r="I319" i="15"/>
  <c r="K319" i="15" s="1"/>
  <c r="K330" i="15"/>
  <c r="M305" i="15"/>
  <c r="O267" i="15"/>
  <c r="K220" i="15"/>
  <c r="I213" i="15"/>
  <c r="K213" i="15" s="1"/>
  <c r="T418" i="15"/>
  <c r="M378" i="15"/>
  <c r="P378" i="15" s="1"/>
  <c r="O304" i="15"/>
  <c r="N188" i="15"/>
  <c r="K457" i="15"/>
  <c r="I365" i="15"/>
  <c r="K365" i="15" s="1"/>
  <c r="O364" i="15"/>
  <c r="L362" i="15"/>
  <c r="O362" i="15" s="1"/>
  <c r="U308" i="15"/>
  <c r="R305" i="15"/>
  <c r="R306" i="15"/>
  <c r="P290" i="15"/>
  <c r="M288" i="15"/>
  <c r="P288" i="15" s="1"/>
  <c r="U267" i="15"/>
  <c r="R266" i="15"/>
  <c r="U194" i="15"/>
  <c r="R192" i="15"/>
  <c r="U192" i="15" s="1"/>
  <c r="L192" i="15"/>
  <c r="O192" i="15" s="1"/>
  <c r="U189" i="15"/>
  <c r="L175" i="15"/>
  <c r="L179" i="15"/>
  <c r="O179" i="15" s="1"/>
  <c r="O181" i="15"/>
  <c r="R173" i="15"/>
  <c r="U283" i="15"/>
  <c r="N268" i="15"/>
  <c r="L236" i="15"/>
  <c r="L234" i="15"/>
  <c r="T191" i="15"/>
  <c r="R176" i="15"/>
  <c r="O165" i="15"/>
  <c r="L163" i="15"/>
  <c r="O163" i="15" s="1"/>
  <c r="O162" i="15"/>
  <c r="L160" i="15"/>
  <c r="L26" i="15"/>
  <c r="M284" i="15"/>
  <c r="K198" i="15"/>
  <c r="L188" i="15"/>
  <c r="S157" i="15"/>
  <c r="O158" i="15"/>
  <c r="P99" i="15"/>
  <c r="N97" i="15"/>
  <c r="P97" i="15" s="1"/>
  <c r="N96" i="15"/>
  <c r="N94" i="15" s="1"/>
  <c r="R188" i="15"/>
  <c r="P174" i="15"/>
  <c r="U158" i="15"/>
  <c r="P144" i="15"/>
  <c r="M142" i="15"/>
  <c r="P142" i="15" s="1"/>
  <c r="P140" i="15"/>
  <c r="U19" i="15"/>
  <c r="L233" i="15"/>
  <c r="T189" i="15"/>
  <c r="Q188" i="15"/>
  <c r="P47" i="15"/>
  <c r="U191" i="15"/>
  <c r="O191" i="15"/>
  <c r="U125" i="15"/>
  <c r="R123" i="15"/>
  <c r="U123" i="15" s="1"/>
  <c r="O99" i="15"/>
  <c r="R26" i="15"/>
  <c r="N26" i="15"/>
  <c r="N24" i="15" s="1"/>
  <c r="O95" i="15"/>
  <c r="Q26" i="15"/>
  <c r="U75" i="15"/>
  <c r="P52" i="15"/>
  <c r="M26" i="15"/>
  <c r="P26" i="15" s="1"/>
  <c r="M50" i="15"/>
  <c r="P50" i="15" s="1"/>
  <c r="O122" i="15"/>
  <c r="L120" i="15"/>
  <c r="O120" i="15" s="1"/>
  <c r="U95" i="15"/>
  <c r="P67" i="15"/>
  <c r="M65" i="15"/>
  <c r="P65" i="15" s="1"/>
  <c r="P22" i="15"/>
  <c r="M19" i="15"/>
  <c r="S173" i="15"/>
  <c r="P147" i="15"/>
  <c r="M145" i="15"/>
  <c r="P145" i="15" s="1"/>
  <c r="U122" i="15"/>
  <c r="R120" i="15"/>
  <c r="P25" i="15"/>
  <c r="O19" i="15"/>
  <c r="S176" i="15"/>
  <c r="M176" i="15"/>
  <c r="I169" i="15"/>
  <c r="K169" i="15" s="1"/>
  <c r="S160" i="15"/>
  <c r="M160" i="15"/>
  <c r="N142" i="15"/>
  <c r="K127" i="15"/>
  <c r="S120" i="15"/>
  <c r="M120" i="15"/>
  <c r="P120" i="15" s="1"/>
  <c r="U118" i="15"/>
  <c r="O118" i="15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Q141" i="15"/>
  <c r="T141" i="15" s="1"/>
  <c r="R96" i="15"/>
  <c r="L96" i="15"/>
  <c r="N46" i="15"/>
  <c r="S26" i="15"/>
  <c r="S24" i="15" s="1"/>
  <c r="S23" i="15"/>
  <c r="M23" i="15"/>
  <c r="Q19" i="15"/>
  <c r="Q96" i="15"/>
  <c r="K85" i="15"/>
  <c r="S74" i="15"/>
  <c r="S72" i="15" s="1"/>
  <c r="M74" i="15"/>
  <c r="M61" i="15"/>
  <c r="M46" i="15"/>
  <c r="R23" i="15"/>
  <c r="L23" i="15"/>
  <c r="Q23" i="15"/>
  <c r="L145" i="13"/>
  <c r="O145" i="13" s="1"/>
  <c r="O147" i="13"/>
  <c r="L714" i="14"/>
  <c r="O714" i="14" s="1"/>
  <c r="I492" i="14"/>
  <c r="K492" i="14" s="1"/>
  <c r="K503" i="14"/>
  <c r="M284" i="12"/>
  <c r="M282" i="12" s="1"/>
  <c r="U765" i="13"/>
  <c r="K709" i="13"/>
  <c r="Q645" i="13"/>
  <c r="T645" i="13" s="1"/>
  <c r="O328" i="13"/>
  <c r="M305" i="13"/>
  <c r="P305" i="13" s="1"/>
  <c r="L214" i="13"/>
  <c r="O214" i="13" s="1"/>
  <c r="I213" i="13"/>
  <c r="K213" i="13" s="1"/>
  <c r="S714" i="14"/>
  <c r="M537" i="14"/>
  <c r="P537" i="14" s="1"/>
  <c r="P539" i="14"/>
  <c r="L381" i="14"/>
  <c r="O381" i="14" s="1"/>
  <c r="O383" i="14"/>
  <c r="M359" i="14"/>
  <c r="M358" i="14"/>
  <c r="P361" i="14"/>
  <c r="I281" i="14"/>
  <c r="K281" i="14" s="1"/>
  <c r="K292" i="14"/>
  <c r="L269" i="14"/>
  <c r="L142" i="14"/>
  <c r="O144" i="14"/>
  <c r="U99" i="14"/>
  <c r="Q59" i="14"/>
  <c r="T59" i="14" s="1"/>
  <c r="T60" i="14"/>
  <c r="S763" i="14"/>
  <c r="T763" i="14" s="1"/>
  <c r="S762" i="14"/>
  <c r="S760" i="14" s="1"/>
  <c r="L495" i="14"/>
  <c r="O495" i="14" s="1"/>
  <c r="O498" i="14"/>
  <c r="L496" i="14"/>
  <c r="O496" i="14" s="1"/>
  <c r="M381" i="14"/>
  <c r="P381" i="14" s="1"/>
  <c r="P383" i="14"/>
  <c r="R693" i="11"/>
  <c r="K632" i="11"/>
  <c r="K503" i="13"/>
  <c r="L760" i="14"/>
  <c r="O760" i="14" s="1"/>
  <c r="I701" i="14"/>
  <c r="O539" i="14"/>
  <c r="L537" i="14"/>
  <c r="O537" i="14" s="1"/>
  <c r="R495" i="14"/>
  <c r="U495" i="14" s="1"/>
  <c r="U498" i="14"/>
  <c r="I423" i="14"/>
  <c r="I412" i="14" s="1"/>
  <c r="K412" i="14" s="1"/>
  <c r="K440" i="14"/>
  <c r="M119" i="14"/>
  <c r="P119" i="14" s="1"/>
  <c r="P122" i="14"/>
  <c r="O45" i="14"/>
  <c r="S763" i="10"/>
  <c r="P328" i="11"/>
  <c r="R123" i="12"/>
  <c r="U123" i="12" s="1"/>
  <c r="K778" i="13"/>
  <c r="O542" i="13"/>
  <c r="M123" i="13"/>
  <c r="P123" i="13" s="1"/>
  <c r="N690" i="14"/>
  <c r="N601" i="14"/>
  <c r="N599" i="14" s="1"/>
  <c r="N602" i="14"/>
  <c r="Q534" i="14"/>
  <c r="T534" i="14" s="1"/>
  <c r="T535" i="14"/>
  <c r="L378" i="14"/>
  <c r="O378" i="14" s="1"/>
  <c r="O380" i="14"/>
  <c r="L377" i="14"/>
  <c r="L375" i="14" s="1"/>
  <c r="M306" i="14"/>
  <c r="P306" i="14" s="1"/>
  <c r="P308" i="14"/>
  <c r="M188" i="14"/>
  <c r="M186" i="14" s="1"/>
  <c r="M189" i="14"/>
  <c r="L75" i="14"/>
  <c r="O75" i="14" s="1"/>
  <c r="L616" i="14"/>
  <c r="O616" i="14" s="1"/>
  <c r="O618" i="14"/>
  <c r="M309" i="14"/>
  <c r="P309" i="14" s="1"/>
  <c r="P311" i="14"/>
  <c r="R74" i="14"/>
  <c r="R72" i="14" s="1"/>
  <c r="R75" i="14"/>
  <c r="U75" i="14" s="1"/>
  <c r="M188" i="12"/>
  <c r="M186" i="12" s="1"/>
  <c r="T122" i="12"/>
  <c r="N536" i="13"/>
  <c r="N534" i="13" s="1"/>
  <c r="P364" i="13"/>
  <c r="L142" i="13"/>
  <c r="O142" i="13" s="1"/>
  <c r="O144" i="13"/>
  <c r="I689" i="14"/>
  <c r="K689" i="14" s="1"/>
  <c r="K707" i="14"/>
  <c r="T617" i="14"/>
  <c r="M499" i="14"/>
  <c r="P499" i="14" s="1"/>
  <c r="P501" i="14"/>
  <c r="N416" i="14"/>
  <c r="R378" i="14"/>
  <c r="U378" i="14" s="1"/>
  <c r="U380" i="14"/>
  <c r="L305" i="14"/>
  <c r="O305" i="14" s="1"/>
  <c r="L306" i="14"/>
  <c r="O306" i="14" s="1"/>
  <c r="I136" i="14"/>
  <c r="K136" i="14" s="1"/>
  <c r="S119" i="14"/>
  <c r="S117" i="14" s="1"/>
  <c r="M62" i="14"/>
  <c r="P62" i="14" s="1"/>
  <c r="P64" i="14"/>
  <c r="I238" i="14"/>
  <c r="K238" i="14" s="1"/>
  <c r="I242" i="14"/>
  <c r="K242" i="14" s="1"/>
  <c r="S96" i="14"/>
  <c r="S94" i="14" s="1"/>
  <c r="S97" i="14"/>
  <c r="T97" i="14" s="1"/>
  <c r="J351" i="12"/>
  <c r="Q763" i="13"/>
  <c r="T763" i="13" s="1"/>
  <c r="S375" i="13"/>
  <c r="K368" i="13"/>
  <c r="Q306" i="13"/>
  <c r="K759" i="14"/>
  <c r="M714" i="14"/>
  <c r="P714" i="14" s="1"/>
  <c r="P715" i="14"/>
  <c r="R618" i="14"/>
  <c r="R616" i="14" s="1"/>
  <c r="R619" i="14"/>
  <c r="U619" i="14" s="1"/>
  <c r="T514" i="14"/>
  <c r="Q513" i="14"/>
  <c r="T513" i="14" s="1"/>
  <c r="L499" i="14"/>
  <c r="O499" i="14" s="1"/>
  <c r="O501" i="14"/>
  <c r="M495" i="14"/>
  <c r="M493" i="14" s="1"/>
  <c r="P493" i="14" s="1"/>
  <c r="P498" i="14"/>
  <c r="M496" i="14"/>
  <c r="P496" i="14" s="1"/>
  <c r="Q377" i="14"/>
  <c r="Q375" i="14" s="1"/>
  <c r="Q378" i="14"/>
  <c r="T378" i="14" s="1"/>
  <c r="S306" i="14"/>
  <c r="S305" i="14"/>
  <c r="S303" i="14" s="1"/>
  <c r="K249" i="14"/>
  <c r="L222" i="14"/>
  <c r="O222" i="14" s="1"/>
  <c r="I92" i="14"/>
  <c r="K92" i="14" s="1"/>
  <c r="K108" i="14"/>
  <c r="L61" i="14"/>
  <c r="L59" i="14" s="1"/>
  <c r="L62" i="14"/>
  <c r="O62" i="14" s="1"/>
  <c r="L50" i="14"/>
  <c r="O50" i="14" s="1"/>
  <c r="O52" i="14"/>
  <c r="L123" i="13"/>
  <c r="O123" i="13" s="1"/>
  <c r="K780" i="14"/>
  <c r="P729" i="14"/>
  <c r="K727" i="14"/>
  <c r="R714" i="14"/>
  <c r="U714" i="14" s="1"/>
  <c r="K709" i="14"/>
  <c r="M690" i="14"/>
  <c r="P690" i="14" s="1"/>
  <c r="L642" i="14"/>
  <c r="O642" i="14" s="1"/>
  <c r="Q618" i="14"/>
  <c r="Q616" i="14" s="1"/>
  <c r="N616" i="14"/>
  <c r="J457" i="14"/>
  <c r="K433" i="14"/>
  <c r="S415" i="14"/>
  <c r="S413" i="14" s="1"/>
  <c r="J365" i="14"/>
  <c r="K365" i="14" s="1"/>
  <c r="L358" i="14"/>
  <c r="L356" i="14" s="1"/>
  <c r="N335" i="14"/>
  <c r="N333" i="14" s="1"/>
  <c r="N336" i="14"/>
  <c r="S333" i="14"/>
  <c r="M322" i="14"/>
  <c r="P322" i="14" s="1"/>
  <c r="I302" i="14"/>
  <c r="K302" i="14" s="1"/>
  <c r="K293" i="14"/>
  <c r="T144" i="14"/>
  <c r="Q74" i="14"/>
  <c r="Q72" i="14" s="1"/>
  <c r="O65" i="14"/>
  <c r="L175" i="13"/>
  <c r="L173" i="13" s="1"/>
  <c r="S74" i="13"/>
  <c r="S72" i="13" s="1"/>
  <c r="U733" i="14"/>
  <c r="Q714" i="14"/>
  <c r="T714" i="14" s="1"/>
  <c r="U693" i="14"/>
  <c r="L690" i="14"/>
  <c r="O690" i="14" s="1"/>
  <c r="P584" i="14"/>
  <c r="M557" i="14"/>
  <c r="M558" i="14"/>
  <c r="P558" i="14" s="1"/>
  <c r="K441" i="14"/>
  <c r="N392" i="14"/>
  <c r="J374" i="14"/>
  <c r="U335" i="14"/>
  <c r="M326" i="14"/>
  <c r="P326" i="14" s="1"/>
  <c r="P290" i="14"/>
  <c r="I265" i="14"/>
  <c r="K265" i="14" s="1"/>
  <c r="L254" i="14"/>
  <c r="O254" i="14" s="1"/>
  <c r="M175" i="14"/>
  <c r="N176" i="14"/>
  <c r="K169" i="14"/>
  <c r="N159" i="14"/>
  <c r="N157" i="14" s="1"/>
  <c r="U147" i="14"/>
  <c r="Q119" i="14"/>
  <c r="K109" i="14"/>
  <c r="P102" i="14"/>
  <c r="P77" i="14"/>
  <c r="P47" i="14"/>
  <c r="Q44" i="14"/>
  <c r="T44" i="14" s="1"/>
  <c r="N19" i="14"/>
  <c r="N760" i="14"/>
  <c r="Q645" i="14"/>
  <c r="T645" i="14" s="1"/>
  <c r="R601" i="14"/>
  <c r="U601" i="14" s="1"/>
  <c r="S534" i="14"/>
  <c r="R534" i="14"/>
  <c r="U534" i="14" s="1"/>
  <c r="S513" i="14"/>
  <c r="J503" i="14"/>
  <c r="J492" i="14" s="1"/>
  <c r="N377" i="14"/>
  <c r="N375" i="14" s="1"/>
  <c r="Q333" i="14"/>
  <c r="T333" i="14" s="1"/>
  <c r="N268" i="14"/>
  <c r="N266" i="14" s="1"/>
  <c r="M159" i="14"/>
  <c r="M157" i="14" s="1"/>
  <c r="N160" i="14"/>
  <c r="T147" i="14"/>
  <c r="N141" i="14"/>
  <c r="N139" i="14" s="1"/>
  <c r="M96" i="14"/>
  <c r="M94" i="14" s="1"/>
  <c r="L78" i="14"/>
  <c r="O78" i="14" s="1"/>
  <c r="S59" i="14"/>
  <c r="L46" i="14"/>
  <c r="L44" i="14" s="1"/>
  <c r="M142" i="13"/>
  <c r="P142" i="13" s="1"/>
  <c r="M760" i="14"/>
  <c r="P760" i="14" s="1"/>
  <c r="U731" i="14"/>
  <c r="L728" i="14"/>
  <c r="O728" i="14" s="1"/>
  <c r="Q693" i="14"/>
  <c r="T693" i="14" s="1"/>
  <c r="J674" i="14"/>
  <c r="N578" i="14"/>
  <c r="N576" i="14" s="1"/>
  <c r="O518" i="14"/>
  <c r="J458" i="14"/>
  <c r="T418" i="14"/>
  <c r="S395" i="14"/>
  <c r="O361" i="14"/>
  <c r="L359" i="14"/>
  <c r="P341" i="14"/>
  <c r="M268" i="14"/>
  <c r="M266" i="14" s="1"/>
  <c r="R269" i="14"/>
  <c r="L233" i="14"/>
  <c r="S157" i="14"/>
  <c r="T125" i="14"/>
  <c r="N119" i="14"/>
  <c r="N117" i="14" s="1"/>
  <c r="T99" i="14"/>
  <c r="M97" i="14"/>
  <c r="T77" i="14"/>
  <c r="R59" i="14"/>
  <c r="U59" i="14" s="1"/>
  <c r="T644" i="14"/>
  <c r="Q642" i="14"/>
  <c r="T642" i="14" s="1"/>
  <c r="Q690" i="14"/>
  <c r="T619" i="14"/>
  <c r="R413" i="14"/>
  <c r="O584" i="14"/>
  <c r="L582" i="14"/>
  <c r="O582" i="14" s="1"/>
  <c r="O287" i="14"/>
  <c r="N285" i="14"/>
  <c r="P285" i="14" s="1"/>
  <c r="P607" i="14"/>
  <c r="M605" i="14"/>
  <c r="P605" i="14" s="1"/>
  <c r="T647" i="12"/>
  <c r="M288" i="12"/>
  <c r="P288" i="12" s="1"/>
  <c r="R731" i="13"/>
  <c r="U731" i="13" s="1"/>
  <c r="R693" i="13"/>
  <c r="U693" i="13" s="1"/>
  <c r="S692" i="13"/>
  <c r="S690" i="13" s="1"/>
  <c r="O421" i="13"/>
  <c r="J351" i="13"/>
  <c r="P290" i="13"/>
  <c r="I138" i="13"/>
  <c r="K138" i="13" s="1"/>
  <c r="R78" i="13"/>
  <c r="U78" i="13" s="1"/>
  <c r="P49" i="13"/>
  <c r="U765" i="14"/>
  <c r="R762" i="14"/>
  <c r="P761" i="14"/>
  <c r="T733" i="14"/>
  <c r="Q730" i="14"/>
  <c r="U729" i="14"/>
  <c r="O729" i="14"/>
  <c r="U715" i="14"/>
  <c r="O715" i="14"/>
  <c r="S692" i="14"/>
  <c r="T692" i="14" s="1"/>
  <c r="S644" i="14"/>
  <c r="S642" i="14" s="1"/>
  <c r="K629" i="14"/>
  <c r="J626" i="14"/>
  <c r="O607" i="14"/>
  <c r="L605" i="14"/>
  <c r="O605" i="14" s="1"/>
  <c r="S601" i="14"/>
  <c r="S599" i="14" s="1"/>
  <c r="T600" i="14"/>
  <c r="O577" i="14"/>
  <c r="P542" i="14"/>
  <c r="M540" i="14"/>
  <c r="P540" i="14" s="1"/>
  <c r="T414" i="14"/>
  <c r="L336" i="14"/>
  <c r="L335" i="14"/>
  <c r="O338" i="14"/>
  <c r="Q320" i="14"/>
  <c r="T320" i="14" s="1"/>
  <c r="T322" i="14"/>
  <c r="M272" i="14"/>
  <c r="P272" i="14" s="1"/>
  <c r="P274" i="14"/>
  <c r="N188" i="14"/>
  <c r="O191" i="14"/>
  <c r="P191" i="14"/>
  <c r="N189" i="14"/>
  <c r="S268" i="13"/>
  <c r="Q356" i="14"/>
  <c r="T356" i="14" s="1"/>
  <c r="T357" i="14"/>
  <c r="O125" i="14"/>
  <c r="L123" i="14"/>
  <c r="O123" i="14" s="1"/>
  <c r="M189" i="13"/>
  <c r="R303" i="14"/>
  <c r="U733" i="10"/>
  <c r="K772" i="12"/>
  <c r="K780" i="13"/>
  <c r="S762" i="13"/>
  <c r="T762" i="13" s="1"/>
  <c r="Q693" i="13"/>
  <c r="T693" i="13" s="1"/>
  <c r="J675" i="13"/>
  <c r="R645" i="13"/>
  <c r="U645" i="13" s="1"/>
  <c r="S644" i="13"/>
  <c r="S642" i="13" s="1"/>
  <c r="U418" i="13"/>
  <c r="M416" i="13"/>
  <c r="P416" i="13" s="1"/>
  <c r="L381" i="13"/>
  <c r="O381" i="13" s="1"/>
  <c r="K369" i="13"/>
  <c r="O361" i="13"/>
  <c r="O271" i="13"/>
  <c r="U144" i="13"/>
  <c r="O99" i="13"/>
  <c r="S75" i="13"/>
  <c r="O49" i="13"/>
  <c r="T765" i="14"/>
  <c r="Q762" i="14"/>
  <c r="U761" i="14"/>
  <c r="O761" i="14"/>
  <c r="T729" i="14"/>
  <c r="T715" i="14"/>
  <c r="U695" i="14"/>
  <c r="R692" i="14"/>
  <c r="P691" i="14"/>
  <c r="U647" i="14"/>
  <c r="R644" i="14"/>
  <c r="U644" i="14" s="1"/>
  <c r="P643" i="14"/>
  <c r="S618" i="14"/>
  <c r="M616" i="14"/>
  <c r="P616" i="14" s="1"/>
  <c r="O560" i="14"/>
  <c r="L558" i="14"/>
  <c r="O558" i="14" s="1"/>
  <c r="R555" i="14"/>
  <c r="U555" i="14" s="1"/>
  <c r="O542" i="14"/>
  <c r="L540" i="14"/>
  <c r="O540" i="14" s="1"/>
  <c r="L536" i="14"/>
  <c r="O521" i="14"/>
  <c r="L519" i="14"/>
  <c r="O519" i="14" s="1"/>
  <c r="P418" i="14"/>
  <c r="M416" i="14"/>
  <c r="M415" i="14"/>
  <c r="N326" i="14"/>
  <c r="N322" i="14"/>
  <c r="N320" i="14" s="1"/>
  <c r="K209" i="14"/>
  <c r="I202" i="14"/>
  <c r="K202" i="14" s="1"/>
  <c r="S19" i="14"/>
  <c r="U122" i="13"/>
  <c r="U604" i="14"/>
  <c r="R602" i="14"/>
  <c r="U602" i="14" s="1"/>
  <c r="T495" i="14"/>
  <c r="Q493" i="14"/>
  <c r="T493" i="14" s="1"/>
  <c r="P287" i="14"/>
  <c r="Q189" i="14"/>
  <c r="Q188" i="14"/>
  <c r="T191" i="14"/>
  <c r="T162" i="11"/>
  <c r="M536" i="12"/>
  <c r="P536" i="12" s="1"/>
  <c r="K784" i="13"/>
  <c r="U733" i="13"/>
  <c r="M540" i="13"/>
  <c r="P540" i="13" s="1"/>
  <c r="O498" i="13"/>
  <c r="U380" i="13"/>
  <c r="U377" i="13"/>
  <c r="L203" i="13"/>
  <c r="O203" i="13" s="1"/>
  <c r="L176" i="13"/>
  <c r="L163" i="13"/>
  <c r="O163" i="13" s="1"/>
  <c r="Q159" i="13"/>
  <c r="T159" i="13" s="1"/>
  <c r="K772" i="14"/>
  <c r="T761" i="14"/>
  <c r="T695" i="14"/>
  <c r="U691" i="14"/>
  <c r="O691" i="14"/>
  <c r="T647" i="14"/>
  <c r="U643" i="14"/>
  <c r="O643" i="14"/>
  <c r="U621" i="14"/>
  <c r="P604" i="14"/>
  <c r="M602" i="14"/>
  <c r="M601" i="14"/>
  <c r="R576" i="14"/>
  <c r="U576" i="14" s="1"/>
  <c r="U577" i="14"/>
  <c r="Q555" i="14"/>
  <c r="T555" i="14" s="1"/>
  <c r="P514" i="14"/>
  <c r="K458" i="14"/>
  <c r="P421" i="14"/>
  <c r="M419" i="14"/>
  <c r="P419" i="14" s="1"/>
  <c r="O418" i="14"/>
  <c r="L416" i="14"/>
  <c r="L415" i="14"/>
  <c r="O321" i="14"/>
  <c r="M496" i="13"/>
  <c r="P496" i="13" s="1"/>
  <c r="P535" i="14"/>
  <c r="U418" i="14"/>
  <c r="R416" i="14"/>
  <c r="U416" i="14" s="1"/>
  <c r="N537" i="13"/>
  <c r="P577" i="14"/>
  <c r="N557" i="14"/>
  <c r="N555" i="14" s="1"/>
  <c r="R513" i="14"/>
  <c r="U513" i="14" s="1"/>
  <c r="U514" i="14"/>
  <c r="T271" i="14"/>
  <c r="U271" i="14"/>
  <c r="S269" i="14"/>
  <c r="T269" i="14" s="1"/>
  <c r="S268" i="14"/>
  <c r="S266" i="14" s="1"/>
  <c r="I423" i="13"/>
  <c r="I412" i="13" s="1"/>
  <c r="K412" i="13" s="1"/>
  <c r="K260" i="13"/>
  <c r="K152" i="13"/>
  <c r="R141" i="13"/>
  <c r="U141" i="13" s="1"/>
  <c r="N96" i="13"/>
  <c r="N94" i="13" s="1"/>
  <c r="T621" i="14"/>
  <c r="O604" i="14"/>
  <c r="L602" i="14"/>
  <c r="L601" i="14"/>
  <c r="N515" i="14"/>
  <c r="N513" i="14" s="1"/>
  <c r="O514" i="14"/>
  <c r="T498" i="14"/>
  <c r="Q496" i="14"/>
  <c r="T496" i="14" s="1"/>
  <c r="O421" i="14"/>
  <c r="L419" i="14"/>
  <c r="O419" i="14" s="1"/>
  <c r="P376" i="14"/>
  <c r="P334" i="14"/>
  <c r="R320" i="14"/>
  <c r="U320" i="14" s="1"/>
  <c r="U321" i="14"/>
  <c r="N284" i="14"/>
  <c r="N282" i="14" s="1"/>
  <c r="M269" i="14"/>
  <c r="P271" i="14"/>
  <c r="O181" i="14"/>
  <c r="L179" i="14"/>
  <c r="O179" i="14" s="1"/>
  <c r="U178" i="14"/>
  <c r="R176" i="14"/>
  <c r="R175" i="14"/>
  <c r="U175" i="14" s="1"/>
  <c r="Q601" i="14"/>
  <c r="T601" i="14" s="1"/>
  <c r="U600" i="14"/>
  <c r="O600" i="14"/>
  <c r="M578" i="14"/>
  <c r="P560" i="14"/>
  <c r="T556" i="14"/>
  <c r="N536" i="14"/>
  <c r="N534" i="14" s="1"/>
  <c r="M515" i="14"/>
  <c r="P515" i="14" s="1"/>
  <c r="Q415" i="14"/>
  <c r="K386" i="14"/>
  <c r="I374" i="14"/>
  <c r="L235" i="14"/>
  <c r="K195" i="14"/>
  <c r="O162" i="14"/>
  <c r="L160" i="14"/>
  <c r="O160" i="14" s="1"/>
  <c r="L159" i="14"/>
  <c r="L119" i="14"/>
  <c r="L578" i="14"/>
  <c r="M536" i="14"/>
  <c r="L515" i="14"/>
  <c r="O515" i="14" s="1"/>
  <c r="N495" i="14"/>
  <c r="N493" i="14" s="1"/>
  <c r="J343" i="14"/>
  <c r="Q303" i="14"/>
  <c r="K280" i="14"/>
  <c r="R266" i="14"/>
  <c r="P144" i="14"/>
  <c r="M142" i="14"/>
  <c r="U122" i="14"/>
  <c r="R120" i="14"/>
  <c r="R119" i="14"/>
  <c r="L26" i="14"/>
  <c r="M579" i="14"/>
  <c r="P579" i="14" s="1"/>
  <c r="M516" i="14"/>
  <c r="P516" i="14" s="1"/>
  <c r="Q416" i="14"/>
  <c r="T416" i="14" s="1"/>
  <c r="P378" i="14"/>
  <c r="K369" i="14"/>
  <c r="M305" i="14"/>
  <c r="L203" i="14"/>
  <c r="O203" i="14" s="1"/>
  <c r="K87" i="14"/>
  <c r="I83" i="14"/>
  <c r="L392" i="14"/>
  <c r="O392" i="14" s="1"/>
  <c r="O283" i="14"/>
  <c r="K230" i="14"/>
  <c r="M141" i="14"/>
  <c r="P99" i="14"/>
  <c r="N97" i="14"/>
  <c r="N96" i="14"/>
  <c r="N94" i="14" s="1"/>
  <c r="T380" i="14"/>
  <c r="N359" i="14"/>
  <c r="J332" i="14"/>
  <c r="K332" i="14" s="1"/>
  <c r="L326" i="14"/>
  <c r="O326" i="14" s="1"/>
  <c r="U308" i="14"/>
  <c r="O308" i="14"/>
  <c r="Q306" i="14"/>
  <c r="L288" i="14"/>
  <c r="O288" i="14" s="1"/>
  <c r="M284" i="14"/>
  <c r="N269" i="14"/>
  <c r="P267" i="14"/>
  <c r="K93" i="14"/>
  <c r="O95" i="14"/>
  <c r="R26" i="14"/>
  <c r="R24" i="14" s="1"/>
  <c r="P75" i="14"/>
  <c r="P67" i="14"/>
  <c r="M65" i="14"/>
  <c r="P65" i="14" s="1"/>
  <c r="S377" i="14"/>
  <c r="U377" i="14" s="1"/>
  <c r="M377" i="14"/>
  <c r="M335" i="14"/>
  <c r="M333" i="14" s="1"/>
  <c r="L322" i="14"/>
  <c r="O322" i="14" s="1"/>
  <c r="T308" i="14"/>
  <c r="N305" i="14"/>
  <c r="N303" i="14" s="1"/>
  <c r="L284" i="14"/>
  <c r="L282" i="14" s="1"/>
  <c r="Q268" i="14"/>
  <c r="R188" i="14"/>
  <c r="L188" i="14"/>
  <c r="P187" i="14"/>
  <c r="S173" i="14"/>
  <c r="P147" i="14"/>
  <c r="M145" i="14"/>
  <c r="P145" i="14" s="1"/>
  <c r="O99" i="14"/>
  <c r="U95" i="14"/>
  <c r="Q26" i="14"/>
  <c r="M336" i="14"/>
  <c r="L323" i="14"/>
  <c r="O323" i="14" s="1"/>
  <c r="O271" i="14"/>
  <c r="O178" i="14"/>
  <c r="L176" i="14"/>
  <c r="O165" i="14"/>
  <c r="L163" i="14"/>
  <c r="O163" i="14" s="1"/>
  <c r="U162" i="14"/>
  <c r="R160" i="14"/>
  <c r="U160" i="14" s="1"/>
  <c r="R159" i="14"/>
  <c r="U144" i="14"/>
  <c r="S142" i="14"/>
  <c r="U142" i="14" s="1"/>
  <c r="T140" i="14"/>
  <c r="U125" i="14"/>
  <c r="R123" i="14"/>
  <c r="U123" i="14" s="1"/>
  <c r="I82" i="14"/>
  <c r="N26" i="14"/>
  <c r="N24" i="14" s="1"/>
  <c r="P22" i="14"/>
  <c r="M19" i="14"/>
  <c r="O122" i="14"/>
  <c r="L120" i="14"/>
  <c r="O120" i="14" s="1"/>
  <c r="P52" i="14"/>
  <c r="M26" i="14"/>
  <c r="P26" i="14" s="1"/>
  <c r="M50" i="14"/>
  <c r="P50" i="14" s="1"/>
  <c r="P25" i="14"/>
  <c r="M179" i="14"/>
  <c r="P179" i="14" s="1"/>
  <c r="S176" i="14"/>
  <c r="M176" i="14"/>
  <c r="Q175" i="14"/>
  <c r="T175" i="14" s="1"/>
  <c r="M163" i="14"/>
  <c r="P163" i="14" s="1"/>
  <c r="S160" i="14"/>
  <c r="M160" i="14"/>
  <c r="Q159" i="14"/>
  <c r="T159" i="14" s="1"/>
  <c r="N142" i="14"/>
  <c r="R141" i="14"/>
  <c r="L141" i="14"/>
  <c r="L139" i="14" s="1"/>
  <c r="K127" i="14"/>
  <c r="S120" i="14"/>
  <c r="M120" i="14"/>
  <c r="P120" i="14" s="1"/>
  <c r="U80" i="14"/>
  <c r="Q78" i="14"/>
  <c r="T78" i="14" s="1"/>
  <c r="U77" i="14"/>
  <c r="O77" i="14"/>
  <c r="Q75" i="14"/>
  <c r="T75" i="14" s="1"/>
  <c r="O64" i="14"/>
  <c r="N50" i="14"/>
  <c r="O49" i="14"/>
  <c r="N23" i="14"/>
  <c r="R19" i="14"/>
  <c r="L19" i="14"/>
  <c r="P178" i="14"/>
  <c r="T174" i="14"/>
  <c r="Q141" i="14"/>
  <c r="R96" i="14"/>
  <c r="L96" i="14"/>
  <c r="N74" i="14"/>
  <c r="N61" i="14"/>
  <c r="N59" i="14" s="1"/>
  <c r="N46" i="14"/>
  <c r="N44" i="14" s="1"/>
  <c r="S26" i="14"/>
  <c r="S24" i="14" s="1"/>
  <c r="S23" i="14"/>
  <c r="M23" i="14"/>
  <c r="Q19" i="14"/>
  <c r="Q176" i="14"/>
  <c r="T176" i="14" s="1"/>
  <c r="Q160" i="14"/>
  <c r="T160" i="14" s="1"/>
  <c r="R145" i="14"/>
  <c r="U145" i="14" s="1"/>
  <c r="L145" i="14"/>
  <c r="O145" i="14" s="1"/>
  <c r="I137" i="14"/>
  <c r="K137" i="14" s="1"/>
  <c r="Q96" i="14"/>
  <c r="S74" i="14"/>
  <c r="M74" i="14"/>
  <c r="M61" i="14"/>
  <c r="M46" i="14"/>
  <c r="M44" i="14" s="1"/>
  <c r="R23" i="14"/>
  <c r="R21" i="14" s="1"/>
  <c r="L23" i="14"/>
  <c r="K183" i="14"/>
  <c r="Q145" i="14"/>
  <c r="T145" i="14" s="1"/>
  <c r="Q142" i="14"/>
  <c r="L100" i="14"/>
  <c r="O100" i="14" s="1"/>
  <c r="R97" i="14"/>
  <c r="L97" i="14"/>
  <c r="P45" i="14"/>
  <c r="U25" i="14"/>
  <c r="Q23" i="14"/>
  <c r="P338" i="13"/>
  <c r="M336" i="13"/>
  <c r="P336" i="13" s="1"/>
  <c r="Q731" i="12"/>
  <c r="K371" i="12"/>
  <c r="M189" i="12"/>
  <c r="K626" i="13"/>
  <c r="R269" i="13"/>
  <c r="U269" i="13" s="1"/>
  <c r="U271" i="13"/>
  <c r="R268" i="13"/>
  <c r="R266" i="13" s="1"/>
  <c r="I221" i="13"/>
  <c r="K221" i="13" s="1"/>
  <c r="K229" i="13"/>
  <c r="K154" i="13"/>
  <c r="I136" i="13"/>
  <c r="K136" i="13" s="1"/>
  <c r="I92" i="13"/>
  <c r="K92" i="13" s="1"/>
  <c r="K108" i="13"/>
  <c r="M62" i="13"/>
  <c r="P62" i="13" s="1"/>
  <c r="P64" i="13"/>
  <c r="K676" i="11"/>
  <c r="L65" i="11"/>
  <c r="O65" i="11" s="1"/>
  <c r="K784" i="12"/>
  <c r="K781" i="12"/>
  <c r="K778" i="12"/>
  <c r="K705" i="12"/>
  <c r="Q306" i="12"/>
  <c r="T306" i="12" s="1"/>
  <c r="T191" i="12"/>
  <c r="Q175" i="12"/>
  <c r="T175" i="12" s="1"/>
  <c r="J701" i="13"/>
  <c r="K629" i="13"/>
  <c r="O607" i="13"/>
  <c r="L605" i="13"/>
  <c r="O605" i="13" s="1"/>
  <c r="L537" i="13"/>
  <c r="O537" i="13" s="1"/>
  <c r="J503" i="13"/>
  <c r="J492" i="13" s="1"/>
  <c r="K505" i="13"/>
  <c r="T397" i="13"/>
  <c r="Q394" i="13"/>
  <c r="T394" i="13" s="1"/>
  <c r="Q395" i="13"/>
  <c r="T395" i="13" s="1"/>
  <c r="P380" i="13"/>
  <c r="M378" i="13"/>
  <c r="P378" i="13" s="1"/>
  <c r="Q268" i="13"/>
  <c r="Q266" i="13" s="1"/>
  <c r="Q269" i="13"/>
  <c r="T269" i="13" s="1"/>
  <c r="R192" i="13"/>
  <c r="U192" i="13" s="1"/>
  <c r="U194" i="13"/>
  <c r="N119" i="13"/>
  <c r="N117" i="13" s="1"/>
  <c r="N120" i="13"/>
  <c r="L78" i="13"/>
  <c r="O78" i="13" s="1"/>
  <c r="O80" i="13"/>
  <c r="Q78" i="13"/>
  <c r="T78" i="13" s="1"/>
  <c r="L62" i="13"/>
  <c r="O62" i="13" s="1"/>
  <c r="O64" i="13"/>
  <c r="Q59" i="13"/>
  <c r="T59" i="13" s="1"/>
  <c r="I242" i="13"/>
  <c r="I231" i="13" s="1"/>
  <c r="K231" i="13" s="1"/>
  <c r="I238" i="13"/>
  <c r="K238" i="13" s="1"/>
  <c r="L192" i="13"/>
  <c r="O192" i="13" s="1"/>
  <c r="T77" i="10"/>
  <c r="Q378" i="11"/>
  <c r="T378" i="11" s="1"/>
  <c r="R763" i="12"/>
  <c r="U763" i="12" s="1"/>
  <c r="S762" i="12"/>
  <c r="S760" i="12" s="1"/>
  <c r="O607" i="12"/>
  <c r="L516" i="12"/>
  <c r="O516" i="12" s="1"/>
  <c r="L326" i="12"/>
  <c r="O326" i="12" s="1"/>
  <c r="S160" i="12"/>
  <c r="I138" i="12"/>
  <c r="K138" i="12" s="1"/>
  <c r="K153" i="12"/>
  <c r="M728" i="13"/>
  <c r="P728" i="13" s="1"/>
  <c r="P729" i="13"/>
  <c r="L578" i="13"/>
  <c r="L576" i="13" s="1"/>
  <c r="L579" i="13"/>
  <c r="O581" i="13"/>
  <c r="L516" i="13"/>
  <c r="O516" i="13" s="1"/>
  <c r="O518" i="13"/>
  <c r="L515" i="13"/>
  <c r="L513" i="13" s="1"/>
  <c r="O513" i="13" s="1"/>
  <c r="R356" i="13"/>
  <c r="U356" i="13" s="1"/>
  <c r="U357" i="13"/>
  <c r="L305" i="13"/>
  <c r="O305" i="13" s="1"/>
  <c r="R282" i="13"/>
  <c r="U282" i="13" s="1"/>
  <c r="U283" i="13"/>
  <c r="M119" i="13"/>
  <c r="P119" i="13" s="1"/>
  <c r="P122" i="13"/>
  <c r="M120" i="13"/>
  <c r="P120" i="13" s="1"/>
  <c r="M74" i="13"/>
  <c r="P74" i="13" s="1"/>
  <c r="M75" i="13"/>
  <c r="P75" i="13" s="1"/>
  <c r="P77" i="13"/>
  <c r="U60" i="13"/>
  <c r="R59" i="13"/>
  <c r="U59" i="13" s="1"/>
  <c r="N19" i="13"/>
  <c r="M582" i="13"/>
  <c r="P582" i="13" s="1"/>
  <c r="P584" i="13"/>
  <c r="L188" i="13"/>
  <c r="L186" i="13" s="1"/>
  <c r="L189" i="13"/>
  <c r="I759" i="12"/>
  <c r="K759" i="12" s="1"/>
  <c r="S618" i="12"/>
  <c r="S616" i="12" s="1"/>
  <c r="T162" i="12"/>
  <c r="P147" i="12"/>
  <c r="K774" i="13"/>
  <c r="S618" i="13"/>
  <c r="S616" i="13" s="1"/>
  <c r="S619" i="13"/>
  <c r="R601" i="13"/>
  <c r="U601" i="13" s="1"/>
  <c r="R602" i="13"/>
  <c r="U602" i="13" s="1"/>
  <c r="R576" i="13"/>
  <c r="U576" i="13" s="1"/>
  <c r="L519" i="13"/>
  <c r="O519" i="13" s="1"/>
  <c r="R513" i="13"/>
  <c r="U513" i="13" s="1"/>
  <c r="P383" i="13"/>
  <c r="M381" i="13"/>
  <c r="P381" i="13" s="1"/>
  <c r="U334" i="13"/>
  <c r="R333" i="13"/>
  <c r="U333" i="13" s="1"/>
  <c r="S306" i="13"/>
  <c r="S305" i="13"/>
  <c r="S303" i="13" s="1"/>
  <c r="L233" i="13"/>
  <c r="S176" i="13"/>
  <c r="S175" i="13"/>
  <c r="S173" i="13" s="1"/>
  <c r="Q44" i="13"/>
  <c r="T44" i="13" s="1"/>
  <c r="T46" i="13"/>
  <c r="R555" i="13"/>
  <c r="U555" i="13" s="1"/>
  <c r="I365" i="13"/>
  <c r="K365" i="13" s="1"/>
  <c r="K371" i="13"/>
  <c r="R306" i="8"/>
  <c r="U306" i="8" s="1"/>
  <c r="Q192" i="9"/>
  <c r="T192" i="9" s="1"/>
  <c r="Q160" i="11"/>
  <c r="T160" i="11" s="1"/>
  <c r="M96" i="11"/>
  <c r="M94" i="11" s="1"/>
  <c r="U607" i="12"/>
  <c r="T418" i="12"/>
  <c r="O416" i="12"/>
  <c r="P336" i="12"/>
  <c r="K198" i="12"/>
  <c r="Q96" i="12"/>
  <c r="T96" i="12" s="1"/>
  <c r="T99" i="12"/>
  <c r="N616" i="13"/>
  <c r="L392" i="13"/>
  <c r="O392" i="13" s="1"/>
  <c r="N358" i="13"/>
  <c r="N356" i="13" s="1"/>
  <c r="O336" i="13"/>
  <c r="R306" i="13"/>
  <c r="U308" i="13"/>
  <c r="R305" i="13"/>
  <c r="P285" i="13"/>
  <c r="U178" i="13"/>
  <c r="R176" i="13"/>
  <c r="R175" i="13"/>
  <c r="R173" i="13" s="1"/>
  <c r="P165" i="13"/>
  <c r="M163" i="13"/>
  <c r="P163" i="13" s="1"/>
  <c r="Q96" i="13"/>
  <c r="Q94" i="13" s="1"/>
  <c r="T99" i="13"/>
  <c r="Q97" i="13"/>
  <c r="P144" i="12"/>
  <c r="R762" i="13"/>
  <c r="T733" i="13"/>
  <c r="Q730" i="13"/>
  <c r="Q728" i="13" s="1"/>
  <c r="R728" i="13"/>
  <c r="I689" i="13"/>
  <c r="K689" i="13" s="1"/>
  <c r="J674" i="13"/>
  <c r="O602" i="13"/>
  <c r="K575" i="13"/>
  <c r="O556" i="13"/>
  <c r="N495" i="13"/>
  <c r="N493" i="13" s="1"/>
  <c r="Q415" i="13"/>
  <c r="Q413" i="13" s="1"/>
  <c r="T413" i="13" s="1"/>
  <c r="S395" i="13"/>
  <c r="L377" i="13"/>
  <c r="S378" i="13"/>
  <c r="P341" i="13"/>
  <c r="L335" i="13"/>
  <c r="L333" i="13" s="1"/>
  <c r="M306" i="13"/>
  <c r="P306" i="13" s="1"/>
  <c r="K292" i="13"/>
  <c r="L284" i="13"/>
  <c r="L282" i="13" s="1"/>
  <c r="N232" i="13"/>
  <c r="U191" i="13"/>
  <c r="K167" i="13"/>
  <c r="N141" i="13"/>
  <c r="N139" i="13" s="1"/>
  <c r="K127" i="13"/>
  <c r="S119" i="13"/>
  <c r="S117" i="13" s="1"/>
  <c r="I82" i="13"/>
  <c r="K82" i="13" s="1"/>
  <c r="R74" i="13"/>
  <c r="L74" i="13"/>
  <c r="O74" i="13" s="1"/>
  <c r="R75" i="13"/>
  <c r="U75" i="13" s="1"/>
  <c r="P47" i="13"/>
  <c r="S44" i="13"/>
  <c r="R44" i="13"/>
  <c r="U44" i="13" s="1"/>
  <c r="M19" i="13"/>
  <c r="U763" i="13"/>
  <c r="L714" i="13"/>
  <c r="O714" i="13" s="1"/>
  <c r="N690" i="13"/>
  <c r="N642" i="13"/>
  <c r="M605" i="13"/>
  <c r="P605" i="13" s="1"/>
  <c r="M601" i="13"/>
  <c r="M599" i="13" s="1"/>
  <c r="M557" i="13"/>
  <c r="M555" i="13" s="1"/>
  <c r="M558" i="13"/>
  <c r="P558" i="13" s="1"/>
  <c r="L415" i="13"/>
  <c r="S416" i="13"/>
  <c r="S392" i="13"/>
  <c r="R378" i="13"/>
  <c r="U378" i="13" s="1"/>
  <c r="L362" i="13"/>
  <c r="O362" i="13" s="1"/>
  <c r="Q333" i="13"/>
  <c r="T333" i="13" s="1"/>
  <c r="M326" i="13"/>
  <c r="P326" i="13" s="1"/>
  <c r="L322" i="13"/>
  <c r="P311" i="13"/>
  <c r="L288" i="13"/>
  <c r="O288" i="13" s="1"/>
  <c r="K265" i="13"/>
  <c r="L236" i="13"/>
  <c r="L235" i="13"/>
  <c r="L222" i="13"/>
  <c r="O222" i="13" s="1"/>
  <c r="R188" i="13"/>
  <c r="R186" i="13" s="1"/>
  <c r="M179" i="13"/>
  <c r="P179" i="13" s="1"/>
  <c r="N100" i="13"/>
  <c r="Q74" i="13"/>
  <c r="T74" i="13" s="1"/>
  <c r="Q75" i="13"/>
  <c r="T75" i="13" s="1"/>
  <c r="Q714" i="13"/>
  <c r="T714" i="13" s="1"/>
  <c r="M690" i="13"/>
  <c r="P690" i="13" s="1"/>
  <c r="L601" i="13"/>
  <c r="L599" i="13" s="1"/>
  <c r="N578" i="13"/>
  <c r="N576" i="13" s="1"/>
  <c r="N579" i="13"/>
  <c r="L557" i="13"/>
  <c r="L555" i="13" s="1"/>
  <c r="L558" i="13"/>
  <c r="O558" i="13" s="1"/>
  <c r="Q534" i="13"/>
  <c r="T534" i="13" s="1"/>
  <c r="R416" i="13"/>
  <c r="U416" i="13" s="1"/>
  <c r="R320" i="13"/>
  <c r="U320" i="13" s="1"/>
  <c r="N305" i="13"/>
  <c r="N303" i="13" s="1"/>
  <c r="Q303" i="13"/>
  <c r="K276" i="13"/>
  <c r="L179" i="13"/>
  <c r="O179" i="13" s="1"/>
  <c r="S141" i="13"/>
  <c r="S139" i="13" s="1"/>
  <c r="L119" i="13"/>
  <c r="L117" i="13" s="1"/>
  <c r="O117" i="13" s="1"/>
  <c r="I116" i="12"/>
  <c r="K116" i="12" s="1"/>
  <c r="M760" i="13"/>
  <c r="P760" i="13" s="1"/>
  <c r="T731" i="13"/>
  <c r="O729" i="13"/>
  <c r="P715" i="13"/>
  <c r="R619" i="13"/>
  <c r="M616" i="13"/>
  <c r="P616" i="13" s="1"/>
  <c r="S601" i="13"/>
  <c r="S599" i="13" s="1"/>
  <c r="S576" i="13"/>
  <c r="N496" i="13"/>
  <c r="S413" i="13"/>
  <c r="M392" i="13"/>
  <c r="P392" i="13" s="1"/>
  <c r="O380" i="13"/>
  <c r="J343" i="13"/>
  <c r="O338" i="13"/>
  <c r="Q320" i="13"/>
  <c r="T320" i="13" s="1"/>
  <c r="L285" i="13"/>
  <c r="O285" i="13" s="1"/>
  <c r="L268" i="13"/>
  <c r="L243" i="13"/>
  <c r="O243" i="13" s="1"/>
  <c r="P191" i="13"/>
  <c r="N142" i="13"/>
  <c r="U77" i="13"/>
  <c r="O77" i="13"/>
  <c r="S59" i="13"/>
  <c r="T604" i="13"/>
  <c r="Q602" i="13"/>
  <c r="T602" i="13" s="1"/>
  <c r="Q513" i="13"/>
  <c r="T513" i="13" s="1"/>
  <c r="K779" i="9"/>
  <c r="U305" i="9"/>
  <c r="P607" i="11"/>
  <c r="P191" i="11"/>
  <c r="R730" i="12"/>
  <c r="R728" i="12" s="1"/>
  <c r="L536" i="12"/>
  <c r="O536" i="12" s="1"/>
  <c r="K456" i="12"/>
  <c r="T416" i="12"/>
  <c r="K386" i="12"/>
  <c r="I365" i="12"/>
  <c r="K365" i="12" s="1"/>
  <c r="O361" i="12"/>
  <c r="O271" i="12"/>
  <c r="L236" i="12"/>
  <c r="L234" i="12"/>
  <c r="M142" i="12"/>
  <c r="N96" i="12"/>
  <c r="N94" i="12" s="1"/>
  <c r="S74" i="12"/>
  <c r="S72" i="12" s="1"/>
  <c r="S75" i="12"/>
  <c r="L760" i="13"/>
  <c r="O760" i="13" s="1"/>
  <c r="M642" i="13"/>
  <c r="P642" i="13" s="1"/>
  <c r="Q619" i="13"/>
  <c r="Q618" i="13"/>
  <c r="T621" i="13"/>
  <c r="Q601" i="13"/>
  <c r="T601" i="13" s="1"/>
  <c r="P556" i="13"/>
  <c r="R534" i="13"/>
  <c r="U534" i="13" s="1"/>
  <c r="U644" i="13"/>
  <c r="R642" i="13"/>
  <c r="U642" i="13" s="1"/>
  <c r="R413" i="13"/>
  <c r="U413" i="13" s="1"/>
  <c r="U415" i="13"/>
  <c r="S762" i="11"/>
  <c r="S760" i="11" s="1"/>
  <c r="O607" i="11"/>
  <c r="M141" i="11"/>
  <c r="M139" i="11" s="1"/>
  <c r="J702" i="12"/>
  <c r="R619" i="12"/>
  <c r="U619" i="12" s="1"/>
  <c r="T607" i="12"/>
  <c r="P498" i="12"/>
  <c r="K330" i="12"/>
  <c r="L235" i="12"/>
  <c r="L233" i="12"/>
  <c r="L214" i="12"/>
  <c r="O214" i="12" s="1"/>
  <c r="O194" i="12"/>
  <c r="U162" i="12"/>
  <c r="L616" i="13"/>
  <c r="O616" i="13" s="1"/>
  <c r="O617" i="13"/>
  <c r="T607" i="13"/>
  <c r="Q605" i="13"/>
  <c r="T605" i="13" s="1"/>
  <c r="Q576" i="13"/>
  <c r="T576" i="13" s="1"/>
  <c r="T577" i="13"/>
  <c r="O563" i="13"/>
  <c r="P563" i="13"/>
  <c r="N561" i="13"/>
  <c r="P561" i="13" s="1"/>
  <c r="M495" i="13"/>
  <c r="P495" i="13" s="1"/>
  <c r="R192" i="12"/>
  <c r="U192" i="12" s="1"/>
  <c r="U194" i="12"/>
  <c r="P364" i="9"/>
  <c r="T147" i="9"/>
  <c r="S693" i="10"/>
  <c r="M322" i="11"/>
  <c r="P322" i="11" s="1"/>
  <c r="T604" i="12"/>
  <c r="P581" i="12"/>
  <c r="O341" i="12"/>
  <c r="R175" i="12"/>
  <c r="U175" i="12" s="1"/>
  <c r="U178" i="12"/>
  <c r="R160" i="12"/>
  <c r="U160" i="12" s="1"/>
  <c r="P514" i="13"/>
  <c r="I456" i="13"/>
  <c r="K456" i="13" s="1"/>
  <c r="K457" i="13"/>
  <c r="P383" i="11"/>
  <c r="K368" i="11"/>
  <c r="L236" i="11"/>
  <c r="U125" i="11"/>
  <c r="K703" i="12"/>
  <c r="S645" i="12"/>
  <c r="O560" i="12"/>
  <c r="O542" i="12"/>
  <c r="P518" i="12"/>
  <c r="S495" i="12"/>
  <c r="S493" i="12" s="1"/>
  <c r="M378" i="12"/>
  <c r="P378" i="12" s="1"/>
  <c r="L254" i="12"/>
  <c r="O254" i="12" s="1"/>
  <c r="K726" i="13"/>
  <c r="I701" i="13"/>
  <c r="K705" i="13"/>
  <c r="Q690" i="13"/>
  <c r="T691" i="13"/>
  <c r="R616" i="13"/>
  <c r="U617" i="13"/>
  <c r="Q555" i="13"/>
  <c r="T555" i="13" s="1"/>
  <c r="M536" i="13"/>
  <c r="P539" i="13"/>
  <c r="M537" i="13"/>
  <c r="P537" i="13" s="1"/>
  <c r="M515" i="13"/>
  <c r="P515" i="13" s="1"/>
  <c r="P518" i="13"/>
  <c r="M516" i="13"/>
  <c r="P516" i="13" s="1"/>
  <c r="S493" i="13"/>
  <c r="O283" i="13"/>
  <c r="K183" i="13"/>
  <c r="I172" i="13"/>
  <c r="K172" i="13" s="1"/>
  <c r="R760" i="12"/>
  <c r="J674" i="12"/>
  <c r="N495" i="12"/>
  <c r="N493" i="12" s="1"/>
  <c r="K260" i="12"/>
  <c r="K229" i="12"/>
  <c r="L188" i="12"/>
  <c r="Q760" i="13"/>
  <c r="R690" i="13"/>
  <c r="Q642" i="13"/>
  <c r="T642" i="13" s="1"/>
  <c r="T643" i="13"/>
  <c r="P581" i="13"/>
  <c r="M579" i="13"/>
  <c r="M578" i="13"/>
  <c r="P361" i="13"/>
  <c r="M359" i="13"/>
  <c r="M358" i="13"/>
  <c r="K293" i="13"/>
  <c r="J280" i="13"/>
  <c r="K280" i="13" s="1"/>
  <c r="N74" i="12"/>
  <c r="N72" i="12" s="1"/>
  <c r="T765" i="13"/>
  <c r="U761" i="13"/>
  <c r="O761" i="13"/>
  <c r="T729" i="13"/>
  <c r="T715" i="13"/>
  <c r="U695" i="13"/>
  <c r="P691" i="13"/>
  <c r="U647" i="13"/>
  <c r="P643" i="13"/>
  <c r="I615" i="13"/>
  <c r="K615" i="13" s="1"/>
  <c r="P604" i="13"/>
  <c r="T600" i="13"/>
  <c r="P577" i="13"/>
  <c r="P560" i="13"/>
  <c r="T535" i="13"/>
  <c r="P521" i="13"/>
  <c r="L495" i="13"/>
  <c r="O495" i="13" s="1"/>
  <c r="Q416" i="13"/>
  <c r="T416" i="13" s="1"/>
  <c r="Q356" i="13"/>
  <c r="T356" i="13" s="1"/>
  <c r="T357" i="13"/>
  <c r="O341" i="13"/>
  <c r="L339" i="13"/>
  <c r="O339" i="13" s="1"/>
  <c r="T178" i="12"/>
  <c r="Q97" i="12"/>
  <c r="T97" i="12" s="1"/>
  <c r="R78" i="12"/>
  <c r="U78" i="12" s="1"/>
  <c r="K772" i="13"/>
  <c r="T695" i="13"/>
  <c r="T647" i="13"/>
  <c r="K632" i="13"/>
  <c r="U621" i="13"/>
  <c r="U604" i="13"/>
  <c r="O604" i="13"/>
  <c r="O560" i="13"/>
  <c r="O501" i="13"/>
  <c r="S496" i="13"/>
  <c r="M419" i="13"/>
  <c r="P419" i="13" s="1"/>
  <c r="R395" i="13"/>
  <c r="U395" i="13" s="1"/>
  <c r="R394" i="13"/>
  <c r="U397" i="13"/>
  <c r="Q377" i="13"/>
  <c r="P334" i="13"/>
  <c r="L254" i="13"/>
  <c r="O254" i="13" s="1"/>
  <c r="K230" i="13"/>
  <c r="Q189" i="13"/>
  <c r="T191" i="13"/>
  <c r="Q188" i="13"/>
  <c r="Q186" i="13" s="1"/>
  <c r="N601" i="13"/>
  <c r="N557" i="13"/>
  <c r="Q496" i="13"/>
  <c r="T496" i="13" s="1"/>
  <c r="Q378" i="13"/>
  <c r="T378" i="13" s="1"/>
  <c r="K209" i="13"/>
  <c r="I202" i="13"/>
  <c r="K202" i="13" s="1"/>
  <c r="O187" i="13"/>
  <c r="S159" i="13"/>
  <c r="S157" i="13" s="1"/>
  <c r="S160" i="13"/>
  <c r="O162" i="13"/>
  <c r="L159" i="13"/>
  <c r="L160" i="13"/>
  <c r="Q495" i="13"/>
  <c r="T495" i="13" s="1"/>
  <c r="I195" i="13"/>
  <c r="K195" i="13" s="1"/>
  <c r="K198" i="13"/>
  <c r="N176" i="13"/>
  <c r="N175" i="13"/>
  <c r="K630" i="13"/>
  <c r="L536" i="13"/>
  <c r="N515" i="13"/>
  <c r="N513" i="13" s="1"/>
  <c r="M499" i="13"/>
  <c r="P499" i="13" s="1"/>
  <c r="S356" i="13"/>
  <c r="N323" i="13"/>
  <c r="N322" i="13"/>
  <c r="N320" i="13" s="1"/>
  <c r="T144" i="13"/>
  <c r="Q141" i="13"/>
  <c r="T141" i="13" s="1"/>
  <c r="Q142" i="13"/>
  <c r="T142" i="13" s="1"/>
  <c r="N415" i="13"/>
  <c r="N413" i="13" s="1"/>
  <c r="K385" i="13"/>
  <c r="N377" i="13"/>
  <c r="N375" i="13" s="1"/>
  <c r="N359" i="13"/>
  <c r="O359" i="13" s="1"/>
  <c r="L358" i="13"/>
  <c r="P357" i="13"/>
  <c r="N335" i="13"/>
  <c r="N333" i="13" s="1"/>
  <c r="J332" i="13"/>
  <c r="K332" i="13" s="1"/>
  <c r="O311" i="13"/>
  <c r="T304" i="13"/>
  <c r="O274" i="13"/>
  <c r="T271" i="13"/>
  <c r="K249" i="13"/>
  <c r="T194" i="13"/>
  <c r="M192" i="13"/>
  <c r="P192" i="13" s="1"/>
  <c r="M175" i="13"/>
  <c r="P178" i="13"/>
  <c r="P19" i="13"/>
  <c r="M415" i="13"/>
  <c r="M377" i="13"/>
  <c r="P377" i="13" s="1"/>
  <c r="M335" i="13"/>
  <c r="I319" i="13"/>
  <c r="K319" i="13" s="1"/>
  <c r="P287" i="13"/>
  <c r="N284" i="13"/>
  <c r="O191" i="13"/>
  <c r="N189" i="13"/>
  <c r="N188" i="13"/>
  <c r="O178" i="13"/>
  <c r="L323" i="13"/>
  <c r="O323" i="13" s="1"/>
  <c r="T308" i="13"/>
  <c r="L306" i="13"/>
  <c r="O306" i="13" s="1"/>
  <c r="I302" i="13"/>
  <c r="K302" i="13" s="1"/>
  <c r="O287" i="13"/>
  <c r="M284" i="13"/>
  <c r="M282" i="13" s="1"/>
  <c r="M141" i="13"/>
  <c r="P141" i="13" s="1"/>
  <c r="N26" i="13"/>
  <c r="N24" i="13" s="1"/>
  <c r="P99" i="13"/>
  <c r="M97" i="13"/>
  <c r="P97" i="13" s="1"/>
  <c r="M23" i="13"/>
  <c r="M21" i="13" s="1"/>
  <c r="M96" i="13"/>
  <c r="S189" i="13"/>
  <c r="U189" i="13" s="1"/>
  <c r="N159" i="13"/>
  <c r="N157" i="13" s="1"/>
  <c r="T122" i="13"/>
  <c r="Q120" i="13"/>
  <c r="T120" i="13" s="1"/>
  <c r="Q119" i="13"/>
  <c r="O325" i="13"/>
  <c r="O308" i="13"/>
  <c r="P304" i="13"/>
  <c r="P271" i="13"/>
  <c r="M268" i="13"/>
  <c r="S188" i="13"/>
  <c r="S186" i="13" s="1"/>
  <c r="T187" i="13"/>
  <c r="Q175" i="13"/>
  <c r="Q176" i="13"/>
  <c r="U125" i="13"/>
  <c r="R119" i="13"/>
  <c r="O102" i="13"/>
  <c r="L100" i="13"/>
  <c r="O100" i="13" s="1"/>
  <c r="N160" i="13"/>
  <c r="T125" i="13"/>
  <c r="Q123" i="13"/>
  <c r="T123" i="13" s="1"/>
  <c r="K93" i="13"/>
  <c r="R26" i="13"/>
  <c r="U26" i="13" s="1"/>
  <c r="P60" i="13"/>
  <c r="U25" i="13"/>
  <c r="U22" i="13"/>
  <c r="R19" i="13"/>
  <c r="T162" i="13"/>
  <c r="M159" i="13"/>
  <c r="M160" i="13"/>
  <c r="U147" i="13"/>
  <c r="M145" i="13"/>
  <c r="P145" i="13" s="1"/>
  <c r="L120" i="13"/>
  <c r="O120" i="13" s="1"/>
  <c r="S97" i="13"/>
  <c r="S23" i="13"/>
  <c r="S21" i="13" s="1"/>
  <c r="O95" i="13"/>
  <c r="Q26" i="13"/>
  <c r="P67" i="13"/>
  <c r="M65" i="13"/>
  <c r="P65" i="13" s="1"/>
  <c r="M61" i="13"/>
  <c r="M59" i="13" s="1"/>
  <c r="P45" i="13"/>
  <c r="U99" i="13"/>
  <c r="R97" i="13"/>
  <c r="R96" i="13"/>
  <c r="R94" i="13" s="1"/>
  <c r="U95" i="13"/>
  <c r="O67" i="13"/>
  <c r="L65" i="13"/>
  <c r="O65" i="13" s="1"/>
  <c r="L61" i="13"/>
  <c r="P52" i="13"/>
  <c r="M26" i="13"/>
  <c r="M50" i="13"/>
  <c r="P50" i="13" s="1"/>
  <c r="M46" i="13"/>
  <c r="M44" i="13" s="1"/>
  <c r="O19" i="13"/>
  <c r="U174" i="13"/>
  <c r="O174" i="13"/>
  <c r="U158" i="13"/>
  <c r="L141" i="13"/>
  <c r="O141" i="13" s="1"/>
  <c r="T95" i="13"/>
  <c r="I83" i="13"/>
  <c r="P73" i="13"/>
  <c r="O52" i="13"/>
  <c r="L26" i="13"/>
  <c r="L50" i="13"/>
  <c r="O50" i="13" s="1"/>
  <c r="L46" i="13"/>
  <c r="P25" i="13"/>
  <c r="P22" i="13"/>
  <c r="I156" i="13"/>
  <c r="K156" i="13" s="1"/>
  <c r="I168" i="13"/>
  <c r="K168" i="13" s="1"/>
  <c r="R160" i="13"/>
  <c r="U160" i="13" s="1"/>
  <c r="R159" i="13"/>
  <c r="U159" i="13" s="1"/>
  <c r="Q145" i="13"/>
  <c r="T145" i="13" s="1"/>
  <c r="S142" i="13"/>
  <c r="S26" i="13"/>
  <c r="S24" i="13" s="1"/>
  <c r="R120" i="13"/>
  <c r="U120" i="13" s="1"/>
  <c r="P102" i="13"/>
  <c r="M100" i="13"/>
  <c r="P100" i="13" s="1"/>
  <c r="S96" i="13"/>
  <c r="S94" i="13" s="1"/>
  <c r="O25" i="13"/>
  <c r="N23" i="13"/>
  <c r="O22" i="13"/>
  <c r="L96" i="13"/>
  <c r="N74" i="13"/>
  <c r="N72" i="13" s="1"/>
  <c r="N61" i="13"/>
  <c r="N59" i="13" s="1"/>
  <c r="N46" i="13"/>
  <c r="N44" i="13" s="1"/>
  <c r="Q19" i="13"/>
  <c r="K85" i="13"/>
  <c r="R23" i="13"/>
  <c r="R21" i="13" s="1"/>
  <c r="L23" i="13"/>
  <c r="L21" i="13" s="1"/>
  <c r="L97" i="13"/>
  <c r="O97" i="13" s="1"/>
  <c r="Q23" i="13"/>
  <c r="M605" i="12"/>
  <c r="P605" i="12" s="1"/>
  <c r="P607" i="12"/>
  <c r="M602" i="12"/>
  <c r="P602" i="12" s="1"/>
  <c r="P604" i="12"/>
  <c r="S377" i="12"/>
  <c r="U377" i="12" s="1"/>
  <c r="S378" i="12"/>
  <c r="L179" i="12"/>
  <c r="O179" i="12" s="1"/>
  <c r="O181" i="12"/>
  <c r="S145" i="12"/>
  <c r="T145" i="12" s="1"/>
  <c r="T147" i="12"/>
  <c r="O147" i="12"/>
  <c r="L145" i="12"/>
  <c r="O145" i="12" s="1"/>
  <c r="R74" i="12"/>
  <c r="R72" i="12" s="1"/>
  <c r="U77" i="12"/>
  <c r="M62" i="12"/>
  <c r="P64" i="12"/>
  <c r="K388" i="8"/>
  <c r="K167" i="8"/>
  <c r="Q188" i="10"/>
  <c r="Q186" i="10" s="1"/>
  <c r="Q763" i="11"/>
  <c r="T763" i="11" s="1"/>
  <c r="K369" i="11"/>
  <c r="P308" i="11"/>
  <c r="Q176" i="11"/>
  <c r="T176" i="11" s="1"/>
  <c r="K785" i="12"/>
  <c r="K779" i="12"/>
  <c r="S731" i="12"/>
  <c r="S728" i="12"/>
  <c r="L728" i="12"/>
  <c r="O728" i="12" s="1"/>
  <c r="K707" i="12"/>
  <c r="L601" i="12"/>
  <c r="L599" i="12" s="1"/>
  <c r="O604" i="12"/>
  <c r="L602" i="12"/>
  <c r="O602" i="12" s="1"/>
  <c r="L362" i="12"/>
  <c r="O362" i="12" s="1"/>
  <c r="O364" i="12"/>
  <c r="L322" i="12"/>
  <c r="O322" i="12" s="1"/>
  <c r="L323" i="12"/>
  <c r="O323" i="12" s="1"/>
  <c r="O325" i="12"/>
  <c r="L309" i="12"/>
  <c r="O309" i="12" s="1"/>
  <c r="O311" i="12"/>
  <c r="K276" i="12"/>
  <c r="I265" i="12"/>
  <c r="K265" i="12" s="1"/>
  <c r="L222" i="12"/>
  <c r="O222" i="12" s="1"/>
  <c r="N176" i="12"/>
  <c r="O178" i="12"/>
  <c r="I172" i="12"/>
  <c r="K172" i="12" s="1"/>
  <c r="L159" i="12"/>
  <c r="L157" i="12" s="1"/>
  <c r="O157" i="12" s="1"/>
  <c r="O162" i="12"/>
  <c r="L160" i="12"/>
  <c r="O160" i="12" s="1"/>
  <c r="L123" i="12"/>
  <c r="O123" i="12" s="1"/>
  <c r="O125" i="12"/>
  <c r="M119" i="12"/>
  <c r="P119" i="12" s="1"/>
  <c r="K84" i="12"/>
  <c r="I82" i="12"/>
  <c r="K82" i="12" s="1"/>
  <c r="J332" i="11"/>
  <c r="K332" i="11" s="1"/>
  <c r="M192" i="11"/>
  <c r="P192" i="11" s="1"/>
  <c r="Q123" i="11"/>
  <c r="T123" i="11" s="1"/>
  <c r="U733" i="12"/>
  <c r="M714" i="12"/>
  <c r="P714" i="12" s="1"/>
  <c r="K689" i="12"/>
  <c r="I701" i="12"/>
  <c r="L690" i="12"/>
  <c r="O690" i="12" s="1"/>
  <c r="M690" i="12"/>
  <c r="P690" i="12" s="1"/>
  <c r="S642" i="12"/>
  <c r="L582" i="12"/>
  <c r="O582" i="12" s="1"/>
  <c r="O584" i="12"/>
  <c r="M561" i="12"/>
  <c r="P561" i="12" s="1"/>
  <c r="P563" i="12"/>
  <c r="K457" i="12"/>
  <c r="M419" i="12"/>
  <c r="P419" i="12" s="1"/>
  <c r="P421" i="12"/>
  <c r="M381" i="12"/>
  <c r="P381" i="12" s="1"/>
  <c r="P383" i="12"/>
  <c r="L358" i="12"/>
  <c r="L356" i="12" s="1"/>
  <c r="K293" i="12"/>
  <c r="P194" i="12"/>
  <c r="M192" i="12"/>
  <c r="P192" i="12" s="1"/>
  <c r="M175" i="12"/>
  <c r="M173" i="12" s="1"/>
  <c r="P178" i="12"/>
  <c r="L119" i="12"/>
  <c r="O119" i="12" s="1"/>
  <c r="L120" i="12"/>
  <c r="O120" i="12" s="1"/>
  <c r="O122" i="12"/>
  <c r="L96" i="12"/>
  <c r="O96" i="12" s="1"/>
  <c r="L97" i="12"/>
  <c r="O97" i="12" s="1"/>
  <c r="O99" i="12"/>
  <c r="Q19" i="12"/>
  <c r="T19" i="12" s="1"/>
  <c r="T22" i="12"/>
  <c r="S714" i="12"/>
  <c r="R601" i="12"/>
  <c r="U604" i="12"/>
  <c r="L305" i="12"/>
  <c r="O305" i="12" s="1"/>
  <c r="O308" i="12"/>
  <c r="L306" i="12"/>
  <c r="O306" i="12" s="1"/>
  <c r="M159" i="12"/>
  <c r="M157" i="12" s="1"/>
  <c r="P165" i="12"/>
  <c r="P158" i="12"/>
  <c r="S120" i="12"/>
  <c r="U120" i="12" s="1"/>
  <c r="U122" i="12"/>
  <c r="S97" i="12"/>
  <c r="S96" i="12"/>
  <c r="S94" i="12" s="1"/>
  <c r="L78" i="12"/>
  <c r="O78" i="12" s="1"/>
  <c r="O80" i="12"/>
  <c r="M74" i="12"/>
  <c r="M75" i="12"/>
  <c r="P77" i="12"/>
  <c r="M47" i="12"/>
  <c r="P47" i="12" s="1"/>
  <c r="P49" i="12"/>
  <c r="P62" i="10"/>
  <c r="J675" i="11"/>
  <c r="K675" i="11" s="1"/>
  <c r="K661" i="11"/>
  <c r="L536" i="11"/>
  <c r="L534" i="11" s="1"/>
  <c r="M760" i="12"/>
  <c r="P760" i="12" s="1"/>
  <c r="P729" i="12"/>
  <c r="K727" i="12"/>
  <c r="R714" i="12"/>
  <c r="U714" i="12" s="1"/>
  <c r="K709" i="12"/>
  <c r="M642" i="12"/>
  <c r="P642" i="12" s="1"/>
  <c r="P643" i="12"/>
  <c r="L578" i="12"/>
  <c r="L576" i="12" s="1"/>
  <c r="K575" i="12"/>
  <c r="Q555" i="12"/>
  <c r="T555" i="12" s="1"/>
  <c r="U397" i="12"/>
  <c r="R395" i="12"/>
  <c r="U395" i="12" s="1"/>
  <c r="R394" i="12"/>
  <c r="U394" i="12" s="1"/>
  <c r="M326" i="12"/>
  <c r="P326" i="12" s="1"/>
  <c r="P328" i="12"/>
  <c r="Q303" i="12"/>
  <c r="L163" i="12"/>
  <c r="O163" i="12" s="1"/>
  <c r="O165" i="12"/>
  <c r="R96" i="12"/>
  <c r="U96" i="12" s="1"/>
  <c r="U99" i="12"/>
  <c r="L74" i="12"/>
  <c r="L72" i="12" s="1"/>
  <c r="L75" i="12"/>
  <c r="O77" i="12"/>
  <c r="R75" i="12"/>
  <c r="L46" i="12"/>
  <c r="L44" i="12" s="1"/>
  <c r="L47" i="12"/>
  <c r="O47" i="12" s="1"/>
  <c r="O49" i="12"/>
  <c r="O99" i="10"/>
  <c r="P581" i="11"/>
  <c r="I242" i="11"/>
  <c r="K242" i="11" s="1"/>
  <c r="L159" i="11"/>
  <c r="L157" i="11" s="1"/>
  <c r="K780" i="12"/>
  <c r="T763" i="12"/>
  <c r="L760" i="12"/>
  <c r="O760" i="12" s="1"/>
  <c r="T730" i="12"/>
  <c r="Q714" i="12"/>
  <c r="T714" i="12" s="1"/>
  <c r="J701" i="12"/>
  <c r="R644" i="12"/>
  <c r="U644" i="12" s="1"/>
  <c r="Q618" i="12"/>
  <c r="T621" i="12"/>
  <c r="Q619" i="12"/>
  <c r="T619" i="12" s="1"/>
  <c r="K432" i="12"/>
  <c r="M339" i="12"/>
  <c r="P339" i="12" s="1"/>
  <c r="R305" i="12"/>
  <c r="R303" i="12" s="1"/>
  <c r="R306" i="12"/>
  <c r="U306" i="12" s="1"/>
  <c r="U308" i="12"/>
  <c r="L284" i="12"/>
  <c r="L282" i="12" s="1"/>
  <c r="L285" i="12"/>
  <c r="M272" i="12"/>
  <c r="P272" i="12" s="1"/>
  <c r="P274" i="12"/>
  <c r="Q268" i="12"/>
  <c r="Q266" i="12" s="1"/>
  <c r="Q269" i="12"/>
  <c r="K220" i="12"/>
  <c r="I213" i="12"/>
  <c r="K213" i="12" s="1"/>
  <c r="T203" i="12"/>
  <c r="U191" i="12"/>
  <c r="S188" i="12"/>
  <c r="S186" i="12" s="1"/>
  <c r="L189" i="12"/>
  <c r="M179" i="12"/>
  <c r="P179" i="12" s="1"/>
  <c r="P181" i="12"/>
  <c r="N141" i="12"/>
  <c r="N139" i="12" s="1"/>
  <c r="N142" i="12"/>
  <c r="N61" i="12"/>
  <c r="N59" i="12" s="1"/>
  <c r="O64" i="12"/>
  <c r="N62" i="12"/>
  <c r="O62" i="12" s="1"/>
  <c r="S44" i="12"/>
  <c r="R44" i="12"/>
  <c r="U44" i="12" s="1"/>
  <c r="U621" i="12"/>
  <c r="Q601" i="12"/>
  <c r="T601" i="12" s="1"/>
  <c r="M578" i="12"/>
  <c r="M576" i="12" s="1"/>
  <c r="P535" i="12"/>
  <c r="K440" i="12"/>
  <c r="K369" i="12"/>
  <c r="N358" i="12"/>
  <c r="N356" i="12" s="1"/>
  <c r="J332" i="12"/>
  <c r="K332" i="12" s="1"/>
  <c r="T334" i="12"/>
  <c r="O304" i="12"/>
  <c r="K292" i="12"/>
  <c r="L288" i="12"/>
  <c r="O288" i="12" s="1"/>
  <c r="N268" i="12"/>
  <c r="N266" i="12" s="1"/>
  <c r="K249" i="12"/>
  <c r="R188" i="12"/>
  <c r="L175" i="12"/>
  <c r="L173" i="12" s="1"/>
  <c r="R176" i="12"/>
  <c r="U176" i="12" s="1"/>
  <c r="M141" i="12"/>
  <c r="P141" i="12" s="1"/>
  <c r="R119" i="12"/>
  <c r="R117" i="12" s="1"/>
  <c r="O102" i="12"/>
  <c r="I93" i="12"/>
  <c r="K93" i="12" s="1"/>
  <c r="P80" i="12"/>
  <c r="Q74" i="12"/>
  <c r="Q75" i="12"/>
  <c r="T73" i="12"/>
  <c r="N19" i="12"/>
  <c r="P539" i="12"/>
  <c r="S333" i="12"/>
  <c r="S141" i="12"/>
  <c r="S139" i="12" s="1"/>
  <c r="O144" i="12"/>
  <c r="U142" i="12"/>
  <c r="Q119" i="12"/>
  <c r="N75" i="12"/>
  <c r="M537" i="12"/>
  <c r="P537" i="12" s="1"/>
  <c r="L515" i="12"/>
  <c r="O515" i="12" s="1"/>
  <c r="L496" i="12"/>
  <c r="O496" i="12" s="1"/>
  <c r="J458" i="12"/>
  <c r="K458" i="12" s="1"/>
  <c r="N415" i="12"/>
  <c r="N413" i="12" s="1"/>
  <c r="J374" i="12"/>
  <c r="M335" i="12"/>
  <c r="M333" i="12" s="1"/>
  <c r="N305" i="12"/>
  <c r="N303" i="12" s="1"/>
  <c r="N269" i="12"/>
  <c r="P269" i="12" s="1"/>
  <c r="L203" i="12"/>
  <c r="O203" i="12" s="1"/>
  <c r="N188" i="12"/>
  <c r="N186" i="12" s="1"/>
  <c r="L176" i="12"/>
  <c r="K108" i="12"/>
  <c r="J503" i="12"/>
  <c r="J492" i="12" s="1"/>
  <c r="P416" i="12"/>
  <c r="K346" i="12"/>
  <c r="R320" i="12"/>
  <c r="U320" i="12" s="1"/>
  <c r="L243" i="12"/>
  <c r="O243" i="12" s="1"/>
  <c r="Q159" i="12"/>
  <c r="T159" i="12" s="1"/>
  <c r="N46" i="12"/>
  <c r="N44" i="12" s="1"/>
  <c r="Q728" i="12"/>
  <c r="U692" i="12"/>
  <c r="R690" i="12"/>
  <c r="U690" i="12" s="1"/>
  <c r="U414" i="12"/>
  <c r="K689" i="10"/>
  <c r="U99" i="10"/>
  <c r="K780" i="11"/>
  <c r="K689" i="11"/>
  <c r="M306" i="11"/>
  <c r="L222" i="11"/>
  <c r="O222" i="11" s="1"/>
  <c r="Q692" i="12"/>
  <c r="K629" i="12"/>
  <c r="K626" i="12"/>
  <c r="K630" i="12"/>
  <c r="K631" i="12"/>
  <c r="R616" i="12"/>
  <c r="T515" i="12"/>
  <c r="Q513" i="12"/>
  <c r="T513" i="12" s="1"/>
  <c r="M392" i="12"/>
  <c r="P392" i="12" s="1"/>
  <c r="P394" i="12"/>
  <c r="K779" i="10"/>
  <c r="R394" i="10"/>
  <c r="U394" i="10" s="1"/>
  <c r="K386" i="10"/>
  <c r="M268" i="10"/>
  <c r="M266" i="10" s="1"/>
  <c r="U122" i="10"/>
  <c r="J701" i="11"/>
  <c r="U647" i="11"/>
  <c r="U607" i="11"/>
  <c r="O581" i="11"/>
  <c r="O539" i="11"/>
  <c r="M377" i="11"/>
  <c r="P377" i="11" s="1"/>
  <c r="L288" i="11"/>
  <c r="O288" i="11" s="1"/>
  <c r="L235" i="11"/>
  <c r="U189" i="11"/>
  <c r="Q145" i="11"/>
  <c r="T145" i="11" s="1"/>
  <c r="R119" i="11"/>
  <c r="R117" i="11" s="1"/>
  <c r="M100" i="11"/>
  <c r="P100" i="11" s="1"/>
  <c r="U765" i="12"/>
  <c r="T733" i="12"/>
  <c r="U729" i="12"/>
  <c r="O729" i="12"/>
  <c r="U715" i="12"/>
  <c r="O715" i="12"/>
  <c r="O644" i="12"/>
  <c r="L642" i="12"/>
  <c r="O642" i="12" s="1"/>
  <c r="P600" i="12"/>
  <c r="N557" i="12"/>
  <c r="N555" i="12" s="1"/>
  <c r="O556" i="12"/>
  <c r="N536" i="12"/>
  <c r="N534" i="12" s="1"/>
  <c r="K425" i="12"/>
  <c r="P376" i="12"/>
  <c r="M309" i="12"/>
  <c r="P309" i="12" s="1"/>
  <c r="P311" i="12"/>
  <c r="M305" i="12"/>
  <c r="P305" i="12" s="1"/>
  <c r="O118" i="12"/>
  <c r="P102" i="12"/>
  <c r="M100" i="12"/>
  <c r="P100" i="12" s="1"/>
  <c r="N26" i="12"/>
  <c r="N24" i="12" s="1"/>
  <c r="P25" i="12"/>
  <c r="T494" i="12"/>
  <c r="P325" i="12"/>
  <c r="M322" i="12"/>
  <c r="J374" i="8"/>
  <c r="P383" i="8"/>
  <c r="O607" i="10"/>
  <c r="O271" i="10"/>
  <c r="K785" i="11"/>
  <c r="K782" i="11"/>
  <c r="K779" i="11"/>
  <c r="T765" i="11"/>
  <c r="K709" i="11"/>
  <c r="T647" i="11"/>
  <c r="Q605" i="11"/>
  <c r="T605" i="11" s="1"/>
  <c r="L561" i="11"/>
  <c r="O561" i="11" s="1"/>
  <c r="P501" i="11"/>
  <c r="S394" i="11"/>
  <c r="S392" i="11" s="1"/>
  <c r="P380" i="11"/>
  <c r="M358" i="11"/>
  <c r="M356" i="11" s="1"/>
  <c r="J343" i="11"/>
  <c r="L203" i="11"/>
  <c r="O203" i="11" s="1"/>
  <c r="I138" i="11"/>
  <c r="K138" i="11" s="1"/>
  <c r="T765" i="12"/>
  <c r="Q762" i="12"/>
  <c r="U761" i="12"/>
  <c r="O761" i="12"/>
  <c r="T729" i="12"/>
  <c r="T715" i="12"/>
  <c r="U695" i="12"/>
  <c r="S693" i="12"/>
  <c r="T693" i="12" s="1"/>
  <c r="O692" i="12"/>
  <c r="T617" i="12"/>
  <c r="N578" i="12"/>
  <c r="N576" i="12" s="1"/>
  <c r="P579" i="12"/>
  <c r="P501" i="12"/>
  <c r="M499" i="12"/>
  <c r="P499" i="12" s="1"/>
  <c r="M495" i="12"/>
  <c r="N377" i="12"/>
  <c r="N375" i="12" s="1"/>
  <c r="Q356" i="12"/>
  <c r="T356" i="12" s="1"/>
  <c r="T357" i="12"/>
  <c r="K314" i="12"/>
  <c r="I302" i="12"/>
  <c r="K302" i="12" s="1"/>
  <c r="T578" i="12"/>
  <c r="Q576" i="12"/>
  <c r="T576" i="12" s="1"/>
  <c r="L534" i="12"/>
  <c r="O534" i="12" s="1"/>
  <c r="Q496" i="12"/>
  <c r="T496" i="12" s="1"/>
  <c r="Q495" i="12"/>
  <c r="T495" i="12" s="1"/>
  <c r="T498" i="12"/>
  <c r="U763" i="11"/>
  <c r="K727" i="11"/>
  <c r="O501" i="11"/>
  <c r="N377" i="11"/>
  <c r="N375" i="11" s="1"/>
  <c r="O308" i="11"/>
  <c r="O125" i="11"/>
  <c r="I83" i="11"/>
  <c r="I71" i="11" s="1"/>
  <c r="K71" i="11" s="1"/>
  <c r="T761" i="12"/>
  <c r="T695" i="12"/>
  <c r="R693" i="12"/>
  <c r="T644" i="12"/>
  <c r="Q642" i="12"/>
  <c r="T642" i="12" s="1"/>
  <c r="P618" i="12"/>
  <c r="M616" i="12"/>
  <c r="P616" i="12" s="1"/>
  <c r="R555" i="12"/>
  <c r="U555" i="12" s="1"/>
  <c r="U556" i="12"/>
  <c r="O539" i="12"/>
  <c r="L537" i="12"/>
  <c r="O537" i="12" s="1"/>
  <c r="U536" i="12"/>
  <c r="R534" i="12"/>
  <c r="U534" i="12" s="1"/>
  <c r="O501" i="12"/>
  <c r="L499" i="12"/>
  <c r="O499" i="12" s="1"/>
  <c r="L495" i="12"/>
  <c r="O495" i="12" s="1"/>
  <c r="O494" i="12"/>
  <c r="P418" i="12"/>
  <c r="U271" i="12"/>
  <c r="R269" i="12"/>
  <c r="R268" i="12"/>
  <c r="U147" i="12"/>
  <c r="R145" i="12"/>
  <c r="O563" i="12"/>
  <c r="L561" i="12"/>
  <c r="O561" i="12" s="1"/>
  <c r="K423" i="12"/>
  <c r="I412" i="12"/>
  <c r="K412" i="12" s="1"/>
  <c r="Q645" i="10"/>
  <c r="T645" i="10" s="1"/>
  <c r="K783" i="11"/>
  <c r="S377" i="11"/>
  <c r="S375" i="11" s="1"/>
  <c r="M97" i="11"/>
  <c r="K632" i="12"/>
  <c r="I615" i="12"/>
  <c r="K615" i="12" s="1"/>
  <c r="P556" i="12"/>
  <c r="T414" i="12"/>
  <c r="Q378" i="12"/>
  <c r="Q377" i="12"/>
  <c r="T380" i="12"/>
  <c r="K781" i="9"/>
  <c r="I701" i="10"/>
  <c r="J675" i="10"/>
  <c r="N322" i="10"/>
  <c r="N320" i="10" s="1"/>
  <c r="I758" i="11"/>
  <c r="K758" i="11" s="1"/>
  <c r="Q692" i="11"/>
  <c r="Q690" i="11" s="1"/>
  <c r="K503" i="11"/>
  <c r="L415" i="11"/>
  <c r="L416" i="11"/>
  <c r="O416" i="11" s="1"/>
  <c r="P364" i="11"/>
  <c r="K346" i="11"/>
  <c r="P311" i="11"/>
  <c r="K220" i="11"/>
  <c r="K152" i="11"/>
  <c r="L74" i="11"/>
  <c r="L72" i="11" s="1"/>
  <c r="O618" i="12"/>
  <c r="L616" i="12"/>
  <c r="O616" i="12" s="1"/>
  <c r="O581" i="12"/>
  <c r="L579" i="12"/>
  <c r="O579" i="12" s="1"/>
  <c r="U578" i="12"/>
  <c r="R576" i="12"/>
  <c r="U576" i="12" s="1"/>
  <c r="T536" i="12"/>
  <c r="Q534" i="12"/>
  <c r="T534" i="12" s="1"/>
  <c r="P521" i="12"/>
  <c r="M519" i="12"/>
  <c r="P519" i="12" s="1"/>
  <c r="M515" i="12"/>
  <c r="I492" i="12"/>
  <c r="K492" i="12" s="1"/>
  <c r="K503" i="12"/>
  <c r="U498" i="12"/>
  <c r="R495" i="12"/>
  <c r="U495" i="12" s="1"/>
  <c r="U494" i="12"/>
  <c r="L419" i="12"/>
  <c r="O419" i="12" s="1"/>
  <c r="M362" i="12"/>
  <c r="P362" i="12" s="1"/>
  <c r="P364" i="12"/>
  <c r="M323" i="12"/>
  <c r="P323" i="12" s="1"/>
  <c r="N322" i="12"/>
  <c r="N320" i="12" s="1"/>
  <c r="I137" i="12"/>
  <c r="K137" i="12" s="1"/>
  <c r="K152" i="12"/>
  <c r="N601" i="12"/>
  <c r="M557" i="12"/>
  <c r="P557" i="12" s="1"/>
  <c r="K433" i="12"/>
  <c r="M415" i="12"/>
  <c r="S394" i="12"/>
  <c r="S392" i="12" s="1"/>
  <c r="P338" i="12"/>
  <c r="N335" i="12"/>
  <c r="N333" i="12" s="1"/>
  <c r="P334" i="12"/>
  <c r="O287" i="12"/>
  <c r="N285" i="12"/>
  <c r="N284" i="12"/>
  <c r="O283" i="12"/>
  <c r="I231" i="12"/>
  <c r="K231" i="12" s="1"/>
  <c r="K242" i="12"/>
  <c r="S189" i="12"/>
  <c r="U189" i="12" s="1"/>
  <c r="O187" i="12"/>
  <c r="P45" i="12"/>
  <c r="S601" i="12"/>
  <c r="S599" i="12" s="1"/>
  <c r="M601" i="12"/>
  <c r="M599" i="12" s="1"/>
  <c r="L557" i="12"/>
  <c r="O557" i="12" s="1"/>
  <c r="N515" i="12"/>
  <c r="N513" i="12" s="1"/>
  <c r="K441" i="12"/>
  <c r="O418" i="12"/>
  <c r="L415" i="12"/>
  <c r="O383" i="12"/>
  <c r="L381" i="12"/>
  <c r="O381" i="12" s="1"/>
  <c r="M359" i="12"/>
  <c r="P359" i="12" s="1"/>
  <c r="M358" i="12"/>
  <c r="P361" i="12"/>
  <c r="Q26" i="12"/>
  <c r="S19" i="12"/>
  <c r="M582" i="12"/>
  <c r="P582" i="12" s="1"/>
  <c r="M558" i="12"/>
  <c r="P558" i="12" s="1"/>
  <c r="M540" i="12"/>
  <c r="P540" i="12" s="1"/>
  <c r="L519" i="12"/>
  <c r="O519" i="12" s="1"/>
  <c r="K484" i="12"/>
  <c r="U418" i="12"/>
  <c r="R416" i="12"/>
  <c r="U416" i="12" s="1"/>
  <c r="S415" i="12"/>
  <c r="S413" i="12" s="1"/>
  <c r="Q395" i="12"/>
  <c r="T395" i="12" s="1"/>
  <c r="Q394" i="12"/>
  <c r="T394" i="12" s="1"/>
  <c r="T397" i="12"/>
  <c r="L392" i="12"/>
  <c r="O392" i="12" s="1"/>
  <c r="L377" i="12"/>
  <c r="O377" i="12" s="1"/>
  <c r="O380" i="12"/>
  <c r="L378" i="12"/>
  <c r="O378" i="12" s="1"/>
  <c r="Q320" i="12"/>
  <c r="T320" i="12" s="1"/>
  <c r="T321" i="12"/>
  <c r="R282" i="12"/>
  <c r="U282" i="12" s="1"/>
  <c r="U283" i="12"/>
  <c r="U187" i="12"/>
  <c r="K169" i="12"/>
  <c r="I156" i="12"/>
  <c r="K156" i="12" s="1"/>
  <c r="Q142" i="12"/>
  <c r="T142" i="12" s="1"/>
  <c r="Q141" i="12"/>
  <c r="T144" i="12"/>
  <c r="U22" i="12"/>
  <c r="R19" i="12"/>
  <c r="R415" i="12"/>
  <c r="R413" i="12" s="1"/>
  <c r="U380" i="12"/>
  <c r="R378" i="12"/>
  <c r="R333" i="12"/>
  <c r="U333" i="12" s="1"/>
  <c r="U334" i="12"/>
  <c r="O321" i="12"/>
  <c r="K281" i="12"/>
  <c r="T267" i="12"/>
  <c r="I238" i="12"/>
  <c r="K238" i="12" s="1"/>
  <c r="O376" i="12"/>
  <c r="K368" i="12"/>
  <c r="S356" i="12"/>
  <c r="O336" i="12"/>
  <c r="P304" i="12"/>
  <c r="P287" i="12"/>
  <c r="M285" i="12"/>
  <c r="Q282" i="12"/>
  <c r="T282" i="12" s="1"/>
  <c r="T283" i="12"/>
  <c r="P271" i="12"/>
  <c r="M268" i="12"/>
  <c r="M266" i="12" s="1"/>
  <c r="I202" i="12"/>
  <c r="K202" i="12" s="1"/>
  <c r="Q188" i="12"/>
  <c r="T187" i="12"/>
  <c r="M176" i="12"/>
  <c r="U118" i="12"/>
  <c r="M96" i="12"/>
  <c r="P96" i="12" s="1"/>
  <c r="O52" i="12"/>
  <c r="L26" i="12"/>
  <c r="L50" i="12"/>
  <c r="O50" i="12" s="1"/>
  <c r="Q415" i="12"/>
  <c r="Q413" i="12" s="1"/>
  <c r="I374" i="12"/>
  <c r="R375" i="12"/>
  <c r="J343" i="12"/>
  <c r="L335" i="12"/>
  <c r="S305" i="12"/>
  <c r="K280" i="12"/>
  <c r="L268" i="12"/>
  <c r="U25" i="12"/>
  <c r="L272" i="12"/>
  <c r="O272" i="12" s="1"/>
  <c r="O191" i="12"/>
  <c r="N189" i="12"/>
  <c r="S173" i="12"/>
  <c r="N160" i="12"/>
  <c r="P160" i="12" s="1"/>
  <c r="P162" i="12"/>
  <c r="N159" i="12"/>
  <c r="N157" i="12" s="1"/>
  <c r="R157" i="12"/>
  <c r="U157" i="12" s="1"/>
  <c r="P125" i="12"/>
  <c r="M123" i="12"/>
  <c r="P123" i="12" s="1"/>
  <c r="M19" i="12"/>
  <c r="M377" i="12"/>
  <c r="P377" i="12" s="1"/>
  <c r="L359" i="12"/>
  <c r="O359" i="12" s="1"/>
  <c r="R356" i="12"/>
  <c r="U356" i="12" s="1"/>
  <c r="O338" i="12"/>
  <c r="O334" i="12"/>
  <c r="P308" i="12"/>
  <c r="T271" i="12"/>
  <c r="S269" i="12"/>
  <c r="S268" i="12"/>
  <c r="S266" i="12" s="1"/>
  <c r="K230" i="12"/>
  <c r="K195" i="12"/>
  <c r="T194" i="12"/>
  <c r="P191" i="12"/>
  <c r="S176" i="12"/>
  <c r="R141" i="12"/>
  <c r="N119" i="12"/>
  <c r="N117" i="12" s="1"/>
  <c r="R26" i="12"/>
  <c r="O67" i="12"/>
  <c r="L65" i="12"/>
  <c r="O65" i="12" s="1"/>
  <c r="L61" i="12"/>
  <c r="P60" i="12"/>
  <c r="O19" i="12"/>
  <c r="T308" i="12"/>
  <c r="P187" i="12"/>
  <c r="N175" i="12"/>
  <c r="I136" i="12"/>
  <c r="K136" i="12" s="1"/>
  <c r="K154" i="12"/>
  <c r="U144" i="12"/>
  <c r="P140" i="12"/>
  <c r="O95" i="12"/>
  <c r="P67" i="12"/>
  <c r="M65" i="12"/>
  <c r="P65" i="12" s="1"/>
  <c r="M61" i="12"/>
  <c r="M163" i="12"/>
  <c r="P163" i="12" s="1"/>
  <c r="P122" i="12"/>
  <c r="M120" i="12"/>
  <c r="P120" i="12" s="1"/>
  <c r="T118" i="12"/>
  <c r="U95" i="12"/>
  <c r="I83" i="12"/>
  <c r="P73" i="12"/>
  <c r="O25" i="12"/>
  <c r="N23" i="12"/>
  <c r="P22" i="12"/>
  <c r="L141" i="12"/>
  <c r="L142" i="12"/>
  <c r="S119" i="12"/>
  <c r="P99" i="12"/>
  <c r="M97" i="12"/>
  <c r="P97" i="12" s="1"/>
  <c r="T95" i="12"/>
  <c r="S26" i="12"/>
  <c r="S24" i="12" s="1"/>
  <c r="P52" i="12"/>
  <c r="M26" i="12"/>
  <c r="M50" i="12"/>
  <c r="P50" i="12" s="1"/>
  <c r="M46" i="12"/>
  <c r="O22" i="12"/>
  <c r="P118" i="12"/>
  <c r="P95" i="12"/>
  <c r="T80" i="12"/>
  <c r="T77" i="12"/>
  <c r="S23" i="12"/>
  <c r="M23" i="12"/>
  <c r="M21" i="12" s="1"/>
  <c r="K85" i="12"/>
  <c r="R23" i="12"/>
  <c r="R21" i="12" s="1"/>
  <c r="L23" i="12"/>
  <c r="L21" i="12" s="1"/>
  <c r="Q23" i="12"/>
  <c r="Q714" i="11"/>
  <c r="T714" i="11" s="1"/>
  <c r="T715" i="11"/>
  <c r="P644" i="11"/>
  <c r="M642" i="11"/>
  <c r="P642" i="11" s="1"/>
  <c r="L601" i="11"/>
  <c r="L599" i="11" s="1"/>
  <c r="L602" i="11"/>
  <c r="O604" i="11"/>
  <c r="M537" i="11"/>
  <c r="P537" i="11" s="1"/>
  <c r="P539" i="11"/>
  <c r="R145" i="11"/>
  <c r="U145" i="11" s="1"/>
  <c r="U147" i="11"/>
  <c r="S96" i="11"/>
  <c r="S94" i="11" s="1"/>
  <c r="S97" i="11"/>
  <c r="T97" i="11" s="1"/>
  <c r="T99" i="11"/>
  <c r="M62" i="11"/>
  <c r="P62" i="11" s="1"/>
  <c r="P64" i="11"/>
  <c r="P147" i="8"/>
  <c r="K778" i="10"/>
  <c r="O604" i="10"/>
  <c r="S394" i="10"/>
  <c r="S392" i="10" s="1"/>
  <c r="K346" i="10"/>
  <c r="P328" i="10"/>
  <c r="L326" i="10"/>
  <c r="O326" i="10" s="1"/>
  <c r="P162" i="10"/>
  <c r="S601" i="11"/>
  <c r="S599" i="11" s="1"/>
  <c r="S602" i="11"/>
  <c r="L419" i="11"/>
  <c r="O419" i="11" s="1"/>
  <c r="O421" i="11"/>
  <c r="K280" i="11"/>
  <c r="I265" i="11"/>
  <c r="K265" i="11" s="1"/>
  <c r="L254" i="11"/>
  <c r="O254" i="11" s="1"/>
  <c r="U194" i="11"/>
  <c r="R192" i="11"/>
  <c r="U192" i="11" s="1"/>
  <c r="K167" i="11"/>
  <c r="M163" i="11"/>
  <c r="P163" i="11" s="1"/>
  <c r="P165" i="11"/>
  <c r="L61" i="11"/>
  <c r="L59" i="11" s="1"/>
  <c r="L62" i="11"/>
  <c r="O62" i="11" s="1"/>
  <c r="R19" i="11"/>
  <c r="U22" i="11"/>
  <c r="K774" i="9"/>
  <c r="O181" i="9"/>
  <c r="K780" i="10"/>
  <c r="T647" i="10"/>
  <c r="Q415" i="10"/>
  <c r="T415" i="10" s="1"/>
  <c r="P178" i="10"/>
  <c r="K774" i="11"/>
  <c r="Q760" i="11"/>
  <c r="L642" i="11"/>
  <c r="O642" i="11" s="1"/>
  <c r="O643" i="11"/>
  <c r="R601" i="11"/>
  <c r="U601" i="11" s="1"/>
  <c r="U604" i="11"/>
  <c r="M561" i="11"/>
  <c r="P561" i="11" s="1"/>
  <c r="P563" i="11"/>
  <c r="M516" i="11"/>
  <c r="P516" i="11" s="1"/>
  <c r="M515" i="11"/>
  <c r="M513" i="11" s="1"/>
  <c r="P513" i="11" s="1"/>
  <c r="P518" i="11"/>
  <c r="T397" i="11"/>
  <c r="Q394" i="11"/>
  <c r="T394" i="11" s="1"/>
  <c r="Q395" i="11"/>
  <c r="T395" i="11" s="1"/>
  <c r="M339" i="11"/>
  <c r="P339" i="11" s="1"/>
  <c r="I221" i="11"/>
  <c r="K221" i="11" s="1"/>
  <c r="K229" i="11"/>
  <c r="K198" i="11"/>
  <c r="I195" i="11"/>
  <c r="K195" i="11" s="1"/>
  <c r="K154" i="11"/>
  <c r="N141" i="11"/>
  <c r="N139" i="11" s="1"/>
  <c r="O144" i="11"/>
  <c r="M123" i="11"/>
  <c r="P123" i="11" s="1"/>
  <c r="P125" i="11"/>
  <c r="I92" i="11"/>
  <c r="K92" i="11" s="1"/>
  <c r="Q26" i="11"/>
  <c r="T26" i="11" s="1"/>
  <c r="T80" i="11"/>
  <c r="R175" i="10"/>
  <c r="U175" i="10" s="1"/>
  <c r="U765" i="11"/>
  <c r="O762" i="11"/>
  <c r="L760" i="11"/>
  <c r="O760" i="11" s="1"/>
  <c r="P761" i="11"/>
  <c r="Q730" i="11"/>
  <c r="Q728" i="11" s="1"/>
  <c r="T733" i="11"/>
  <c r="Q731" i="11"/>
  <c r="S619" i="11"/>
  <c r="T619" i="11" s="1"/>
  <c r="S618" i="11"/>
  <c r="S616" i="11" s="1"/>
  <c r="T600" i="11"/>
  <c r="L516" i="11"/>
  <c r="O516" i="11" s="1"/>
  <c r="O518" i="11"/>
  <c r="N323" i="11"/>
  <c r="N322" i="11"/>
  <c r="N320" i="11" s="1"/>
  <c r="M284" i="11"/>
  <c r="M282" i="11" s="1"/>
  <c r="Q268" i="11"/>
  <c r="T268" i="11" s="1"/>
  <c r="Q269" i="11"/>
  <c r="Q157" i="11"/>
  <c r="T157" i="11" s="1"/>
  <c r="T158" i="11"/>
  <c r="M75" i="11"/>
  <c r="P75" i="11" s="1"/>
  <c r="P77" i="11"/>
  <c r="K785" i="8"/>
  <c r="K183" i="9"/>
  <c r="L119" i="9"/>
  <c r="O119" i="9" s="1"/>
  <c r="K784" i="11"/>
  <c r="K781" i="11"/>
  <c r="K778" i="11"/>
  <c r="R762" i="11"/>
  <c r="I701" i="11"/>
  <c r="K703" i="11"/>
  <c r="M690" i="11"/>
  <c r="P690" i="11" s="1"/>
  <c r="P691" i="11"/>
  <c r="T643" i="11"/>
  <c r="R619" i="11"/>
  <c r="U621" i="11"/>
  <c r="R618" i="11"/>
  <c r="R616" i="11" s="1"/>
  <c r="Q576" i="11"/>
  <c r="T576" i="11" s="1"/>
  <c r="T577" i="11"/>
  <c r="M519" i="11"/>
  <c r="P519" i="11" s="1"/>
  <c r="T498" i="11"/>
  <c r="Q495" i="11"/>
  <c r="T495" i="11" s="1"/>
  <c r="Q496" i="11"/>
  <c r="T496" i="11" s="1"/>
  <c r="K432" i="11"/>
  <c r="R416" i="11"/>
  <c r="U418" i="11"/>
  <c r="R415" i="11"/>
  <c r="R413" i="11" s="1"/>
  <c r="R377" i="11"/>
  <c r="R375" i="11" s="1"/>
  <c r="U375" i="11" s="1"/>
  <c r="U380" i="11"/>
  <c r="M323" i="11"/>
  <c r="P323" i="11" s="1"/>
  <c r="P325" i="11"/>
  <c r="M288" i="11"/>
  <c r="P288" i="11" s="1"/>
  <c r="L284" i="11"/>
  <c r="L282" i="11" s="1"/>
  <c r="L285" i="11"/>
  <c r="N268" i="11"/>
  <c r="N266" i="11" s="1"/>
  <c r="N269" i="11"/>
  <c r="L145" i="11"/>
  <c r="O145" i="11" s="1"/>
  <c r="T77" i="11"/>
  <c r="L75" i="11"/>
  <c r="O75" i="11" s="1"/>
  <c r="Q59" i="11"/>
  <c r="T59" i="11" s="1"/>
  <c r="T60" i="11"/>
  <c r="R44" i="11"/>
  <c r="U44" i="11" s="1"/>
  <c r="K778" i="8"/>
  <c r="K709" i="8"/>
  <c r="K783" i="9"/>
  <c r="K127" i="9"/>
  <c r="J702" i="10"/>
  <c r="R495" i="10"/>
  <c r="U495" i="10" s="1"/>
  <c r="U556" i="11"/>
  <c r="R555" i="11"/>
  <c r="U555" i="11" s="1"/>
  <c r="N537" i="11"/>
  <c r="N536" i="11"/>
  <c r="N534" i="11" s="1"/>
  <c r="N495" i="11"/>
  <c r="N493" i="11" s="1"/>
  <c r="N496" i="11"/>
  <c r="Q416" i="11"/>
  <c r="Q415" i="11"/>
  <c r="Q413" i="11" s="1"/>
  <c r="N188" i="11"/>
  <c r="N186" i="11" s="1"/>
  <c r="N189" i="11"/>
  <c r="O189" i="11" s="1"/>
  <c r="T178" i="11"/>
  <c r="Q119" i="11"/>
  <c r="Q117" i="11" s="1"/>
  <c r="Q120" i="11"/>
  <c r="T122" i="11"/>
  <c r="P49" i="11"/>
  <c r="N714" i="11"/>
  <c r="K705" i="11"/>
  <c r="Q601" i="11"/>
  <c r="T601" i="11" s="1"/>
  <c r="N578" i="11"/>
  <c r="N576" i="11" s="1"/>
  <c r="S513" i="11"/>
  <c r="K484" i="11"/>
  <c r="K458" i="11"/>
  <c r="P421" i="11"/>
  <c r="O418" i="11"/>
  <c r="N378" i="11"/>
  <c r="N358" i="11"/>
  <c r="L322" i="11"/>
  <c r="O322" i="11" s="1"/>
  <c r="I319" i="11"/>
  <c r="K319" i="11" s="1"/>
  <c r="U308" i="11"/>
  <c r="N305" i="11"/>
  <c r="L233" i="11"/>
  <c r="L192" i="11"/>
  <c r="O192" i="11" s="1"/>
  <c r="M188" i="11"/>
  <c r="U176" i="11"/>
  <c r="N175" i="11"/>
  <c r="N173" i="11" s="1"/>
  <c r="P147" i="11"/>
  <c r="L141" i="11"/>
  <c r="L139" i="11" s="1"/>
  <c r="L142" i="11"/>
  <c r="P80" i="11"/>
  <c r="R74" i="11"/>
  <c r="R72" i="11" s="1"/>
  <c r="O52" i="11"/>
  <c r="P47" i="11"/>
  <c r="S44" i="11"/>
  <c r="Q44" i="11"/>
  <c r="T44" i="11" s="1"/>
  <c r="O22" i="11"/>
  <c r="R690" i="11"/>
  <c r="K678" i="11"/>
  <c r="R644" i="11"/>
  <c r="U644" i="11" s="1"/>
  <c r="M582" i="11"/>
  <c r="P582" i="11" s="1"/>
  <c r="M578" i="11"/>
  <c r="P578" i="11" s="1"/>
  <c r="R534" i="11"/>
  <c r="U534" i="11" s="1"/>
  <c r="Q513" i="11"/>
  <c r="T513" i="11" s="1"/>
  <c r="K457" i="11"/>
  <c r="N415" i="11"/>
  <c r="N413" i="11" s="1"/>
  <c r="L381" i="11"/>
  <c r="O381" i="11" s="1"/>
  <c r="O359" i="11"/>
  <c r="Q320" i="11"/>
  <c r="T320" i="11" s="1"/>
  <c r="M305" i="11"/>
  <c r="M303" i="11" s="1"/>
  <c r="S306" i="11"/>
  <c r="T306" i="11" s="1"/>
  <c r="S303" i="11"/>
  <c r="K213" i="11"/>
  <c r="S188" i="11"/>
  <c r="S186" i="11" s="1"/>
  <c r="L188" i="11"/>
  <c r="N159" i="11"/>
  <c r="R141" i="11"/>
  <c r="R139" i="11" s="1"/>
  <c r="K109" i="11"/>
  <c r="Q74" i="11"/>
  <c r="Q72" i="11" s="1"/>
  <c r="L46" i="11"/>
  <c r="N19" i="11"/>
  <c r="Q644" i="11"/>
  <c r="Q642" i="11" s="1"/>
  <c r="T642" i="11" s="1"/>
  <c r="N642" i="11"/>
  <c r="Q618" i="11"/>
  <c r="L616" i="11"/>
  <c r="O616" i="11" s="1"/>
  <c r="M557" i="11"/>
  <c r="M558" i="11"/>
  <c r="P558" i="11" s="1"/>
  <c r="K456" i="11"/>
  <c r="I238" i="11"/>
  <c r="K238" i="11" s="1"/>
  <c r="N232" i="11"/>
  <c r="R188" i="11"/>
  <c r="R186" i="11" s="1"/>
  <c r="M159" i="11"/>
  <c r="M157" i="11" s="1"/>
  <c r="M119" i="11"/>
  <c r="P119" i="11" s="1"/>
  <c r="N728" i="11"/>
  <c r="K726" i="11"/>
  <c r="S714" i="11"/>
  <c r="O691" i="11"/>
  <c r="T621" i="11"/>
  <c r="T604" i="11"/>
  <c r="M601" i="11"/>
  <c r="M599" i="11" s="1"/>
  <c r="I374" i="11"/>
  <c r="K374" i="11" s="1"/>
  <c r="J351" i="11"/>
  <c r="M335" i="11"/>
  <c r="M333" i="11" s="1"/>
  <c r="O325" i="11"/>
  <c r="L323" i="11"/>
  <c r="O323" i="11" s="1"/>
  <c r="N306" i="11"/>
  <c r="O306" i="11" s="1"/>
  <c r="T214" i="11"/>
  <c r="P176" i="11"/>
  <c r="S119" i="11"/>
  <c r="S117" i="11" s="1"/>
  <c r="R59" i="11"/>
  <c r="U59" i="11" s="1"/>
  <c r="U695" i="11"/>
  <c r="S692" i="11"/>
  <c r="S690" i="11" s="1"/>
  <c r="L578" i="11"/>
  <c r="O578" i="11" s="1"/>
  <c r="O308" i="5"/>
  <c r="K703" i="10"/>
  <c r="S644" i="10"/>
  <c r="S642" i="10" s="1"/>
  <c r="T380" i="10"/>
  <c r="P359" i="10"/>
  <c r="O308" i="10"/>
  <c r="Q303" i="10"/>
  <c r="L284" i="10"/>
  <c r="L282" i="10" s="1"/>
  <c r="I238" i="10"/>
  <c r="K238" i="10" s="1"/>
  <c r="O189" i="10"/>
  <c r="Q123" i="10"/>
  <c r="T123" i="10" s="1"/>
  <c r="S731" i="11"/>
  <c r="U731" i="11" s="1"/>
  <c r="S730" i="11"/>
  <c r="U600" i="11"/>
  <c r="N557" i="11"/>
  <c r="N555" i="11" s="1"/>
  <c r="O542" i="11"/>
  <c r="N540" i="11"/>
  <c r="O540" i="11" s="1"/>
  <c r="S495" i="11"/>
  <c r="S493" i="11" s="1"/>
  <c r="S496" i="11"/>
  <c r="P494" i="11"/>
  <c r="K424" i="11"/>
  <c r="S415" i="11"/>
  <c r="S413" i="11" s="1"/>
  <c r="S416" i="11"/>
  <c r="R395" i="11"/>
  <c r="U395" i="11" s="1"/>
  <c r="U397" i="11"/>
  <c r="O394" i="11"/>
  <c r="L392" i="11"/>
  <c r="O392" i="11" s="1"/>
  <c r="P376" i="11"/>
  <c r="U305" i="11"/>
  <c r="R303" i="11"/>
  <c r="O600" i="11"/>
  <c r="P577" i="11"/>
  <c r="K440" i="11"/>
  <c r="I423" i="11"/>
  <c r="J675" i="7"/>
  <c r="S375" i="10"/>
  <c r="L159" i="10"/>
  <c r="O159" i="10" s="1"/>
  <c r="L495" i="11"/>
  <c r="O498" i="11"/>
  <c r="L496" i="11"/>
  <c r="O496" i="11" s="1"/>
  <c r="O338" i="11"/>
  <c r="N335" i="11"/>
  <c r="N333" i="11" s="1"/>
  <c r="P338" i="11"/>
  <c r="N336" i="11"/>
  <c r="P336" i="11" s="1"/>
  <c r="L234" i="11"/>
  <c r="T498" i="9"/>
  <c r="M381" i="9"/>
  <c r="P381" i="9" s="1"/>
  <c r="N96" i="9"/>
  <c r="N94" i="9" s="1"/>
  <c r="R731" i="10"/>
  <c r="K705" i="10"/>
  <c r="O416" i="10"/>
  <c r="U397" i="10"/>
  <c r="P380" i="10"/>
  <c r="K369" i="10"/>
  <c r="M322" i="10"/>
  <c r="M320" i="10" s="1"/>
  <c r="P320" i="10" s="1"/>
  <c r="L192" i="10"/>
  <c r="O192" i="10" s="1"/>
  <c r="L188" i="10"/>
  <c r="L186" i="10" s="1"/>
  <c r="O144" i="10"/>
  <c r="T122" i="10"/>
  <c r="T99" i="10"/>
  <c r="R730" i="11"/>
  <c r="U733" i="11"/>
  <c r="R714" i="11"/>
  <c r="U714" i="11" s="1"/>
  <c r="S693" i="11"/>
  <c r="T693" i="11" s="1"/>
  <c r="R576" i="11"/>
  <c r="U576" i="11" s="1"/>
  <c r="U577" i="11"/>
  <c r="P542" i="11"/>
  <c r="M540" i="11"/>
  <c r="P540" i="11" s="1"/>
  <c r="N516" i="11"/>
  <c r="N515" i="11"/>
  <c r="N513" i="11" s="1"/>
  <c r="R495" i="11"/>
  <c r="U498" i="11"/>
  <c r="R496" i="11"/>
  <c r="U496" i="11" s="1"/>
  <c r="M392" i="11"/>
  <c r="P392" i="11" s="1"/>
  <c r="R282" i="11"/>
  <c r="U282" i="11" s="1"/>
  <c r="U283" i="11"/>
  <c r="M495" i="11"/>
  <c r="P495" i="11" s="1"/>
  <c r="P498" i="11"/>
  <c r="K781" i="8"/>
  <c r="M714" i="11"/>
  <c r="P714" i="11" s="1"/>
  <c r="P715" i="11"/>
  <c r="O577" i="11"/>
  <c r="M415" i="11"/>
  <c r="P418" i="11"/>
  <c r="M416" i="11"/>
  <c r="P416" i="11" s="1"/>
  <c r="N175" i="8"/>
  <c r="N173" i="8" s="1"/>
  <c r="J374" i="9"/>
  <c r="K707" i="10"/>
  <c r="S416" i="10"/>
  <c r="T416" i="10" s="1"/>
  <c r="N377" i="10"/>
  <c r="N375" i="10" s="1"/>
  <c r="M362" i="10"/>
  <c r="P362" i="10" s="1"/>
  <c r="U308" i="10"/>
  <c r="Q306" i="10"/>
  <c r="T306" i="10" s="1"/>
  <c r="I172" i="10"/>
  <c r="K172" i="10" s="1"/>
  <c r="P49" i="10"/>
  <c r="L728" i="11"/>
  <c r="O728" i="11" s="1"/>
  <c r="J702" i="11"/>
  <c r="J674" i="11"/>
  <c r="K674" i="11" s="1"/>
  <c r="S645" i="11"/>
  <c r="T645" i="11" s="1"/>
  <c r="L557" i="11"/>
  <c r="O560" i="11"/>
  <c r="L558" i="11"/>
  <c r="O558" i="11" s="1"/>
  <c r="M496" i="11"/>
  <c r="P496" i="11" s="1"/>
  <c r="U394" i="11"/>
  <c r="R392" i="11"/>
  <c r="U392" i="11" s="1"/>
  <c r="T393" i="11"/>
  <c r="I365" i="11"/>
  <c r="K365" i="11" s="1"/>
  <c r="K371" i="11"/>
  <c r="M179" i="11"/>
  <c r="P179" i="11" s="1"/>
  <c r="P181" i="11"/>
  <c r="L222" i="10"/>
  <c r="O222" i="10" s="1"/>
  <c r="P604" i="11"/>
  <c r="N602" i="11"/>
  <c r="P602" i="11" s="1"/>
  <c r="O584" i="11"/>
  <c r="L582" i="11"/>
  <c r="O582" i="11" s="1"/>
  <c r="S375" i="8"/>
  <c r="O290" i="8"/>
  <c r="T144" i="8"/>
  <c r="R141" i="9"/>
  <c r="U141" i="9" s="1"/>
  <c r="O359" i="10"/>
  <c r="R188" i="10"/>
  <c r="R186" i="10" s="1"/>
  <c r="Q119" i="10"/>
  <c r="M728" i="11"/>
  <c r="P728" i="11" s="1"/>
  <c r="P729" i="11"/>
  <c r="T695" i="11"/>
  <c r="N601" i="11"/>
  <c r="P600" i="11"/>
  <c r="O521" i="11"/>
  <c r="L519" i="11"/>
  <c r="O519" i="11" s="1"/>
  <c r="J503" i="11"/>
  <c r="J492" i="11" s="1"/>
  <c r="K504" i="11"/>
  <c r="O357" i="11"/>
  <c r="N96" i="10"/>
  <c r="N94" i="10" s="1"/>
  <c r="K631" i="11"/>
  <c r="T617" i="11"/>
  <c r="P560" i="11"/>
  <c r="U535" i="11"/>
  <c r="Q377" i="11"/>
  <c r="O361" i="11"/>
  <c r="R356" i="11"/>
  <c r="U356" i="11" s="1"/>
  <c r="U357" i="11"/>
  <c r="Q356" i="11"/>
  <c r="T356" i="11" s="1"/>
  <c r="U271" i="11"/>
  <c r="R269" i="11"/>
  <c r="R268" i="11"/>
  <c r="U268" i="11" s="1"/>
  <c r="S266" i="11"/>
  <c r="L214" i="11"/>
  <c r="O214" i="11" s="1"/>
  <c r="K707" i="11"/>
  <c r="K630" i="11"/>
  <c r="K626" i="11"/>
  <c r="Q555" i="11"/>
  <c r="T555" i="11" s="1"/>
  <c r="M536" i="11"/>
  <c r="L515" i="11"/>
  <c r="T418" i="11"/>
  <c r="L377" i="11"/>
  <c r="N119" i="11"/>
  <c r="N117" i="11" s="1"/>
  <c r="N123" i="11"/>
  <c r="K629" i="11"/>
  <c r="L378" i="11"/>
  <c r="O378" i="11" s="1"/>
  <c r="P361" i="11"/>
  <c r="M359" i="11"/>
  <c r="P359" i="11" s="1"/>
  <c r="L339" i="11"/>
  <c r="O339" i="11" s="1"/>
  <c r="L335" i="11"/>
  <c r="O341" i="11"/>
  <c r="Q333" i="11"/>
  <c r="T333" i="11" s="1"/>
  <c r="L309" i="11"/>
  <c r="O309" i="11" s="1"/>
  <c r="P158" i="11"/>
  <c r="L362" i="11"/>
  <c r="O362" i="11" s="1"/>
  <c r="L358" i="11"/>
  <c r="P357" i="11"/>
  <c r="P321" i="11"/>
  <c r="L305" i="11"/>
  <c r="S282" i="11"/>
  <c r="K209" i="11"/>
  <c r="I202" i="11"/>
  <c r="K202" i="11" s="1"/>
  <c r="T321" i="11"/>
  <c r="K293" i="11"/>
  <c r="Q282" i="11"/>
  <c r="T282" i="11" s="1"/>
  <c r="T283" i="11"/>
  <c r="T267" i="11"/>
  <c r="T191" i="11"/>
  <c r="Q189" i="11"/>
  <c r="T189" i="11" s="1"/>
  <c r="O181" i="11"/>
  <c r="L179" i="11"/>
  <c r="O179" i="11" s="1"/>
  <c r="L175" i="11"/>
  <c r="O178" i="11"/>
  <c r="L160" i="11"/>
  <c r="O160" i="11" s="1"/>
  <c r="O162" i="11"/>
  <c r="M142" i="11"/>
  <c r="P144" i="11"/>
  <c r="U95" i="11"/>
  <c r="S320" i="11"/>
  <c r="O287" i="11"/>
  <c r="N285" i="11"/>
  <c r="P271" i="11"/>
  <c r="M269" i="11"/>
  <c r="K183" i="11"/>
  <c r="I172" i="11"/>
  <c r="K172" i="11" s="1"/>
  <c r="U174" i="11"/>
  <c r="U144" i="11"/>
  <c r="S141" i="11"/>
  <c r="S142" i="11"/>
  <c r="U142" i="11" s="1"/>
  <c r="S19" i="11"/>
  <c r="L326" i="11"/>
  <c r="O326" i="11" s="1"/>
  <c r="R320" i="11"/>
  <c r="U320" i="11" s="1"/>
  <c r="Q305" i="11"/>
  <c r="T308" i="11"/>
  <c r="R306" i="11"/>
  <c r="P287" i="11"/>
  <c r="M285" i="11"/>
  <c r="N284" i="11"/>
  <c r="N282" i="11" s="1"/>
  <c r="I281" i="11"/>
  <c r="K281" i="11" s="1"/>
  <c r="P274" i="11"/>
  <c r="M272" i="11"/>
  <c r="P272" i="11" s="1"/>
  <c r="O271" i="11"/>
  <c r="L269" i="11"/>
  <c r="M268" i="11"/>
  <c r="T194" i="11"/>
  <c r="Q192" i="11"/>
  <c r="T192" i="11" s="1"/>
  <c r="Q188" i="11"/>
  <c r="R175" i="11"/>
  <c r="U178" i="11"/>
  <c r="O176" i="11"/>
  <c r="T174" i="11"/>
  <c r="Q173" i="11"/>
  <c r="U162" i="11"/>
  <c r="R159" i="11"/>
  <c r="U19" i="11"/>
  <c r="O283" i="11"/>
  <c r="O274" i="11"/>
  <c r="L272" i="11"/>
  <c r="O272" i="11" s="1"/>
  <c r="T271" i="11"/>
  <c r="S269" i="11"/>
  <c r="L268" i="11"/>
  <c r="U99" i="11"/>
  <c r="R97" i="11"/>
  <c r="R96" i="11"/>
  <c r="K314" i="11"/>
  <c r="P283" i="11"/>
  <c r="U267" i="11"/>
  <c r="O267" i="11"/>
  <c r="K230" i="11"/>
  <c r="U191" i="11"/>
  <c r="O191" i="11"/>
  <c r="P178" i="11"/>
  <c r="M175" i="11"/>
  <c r="M173" i="11" s="1"/>
  <c r="S157" i="11"/>
  <c r="T144" i="11"/>
  <c r="U122" i="11"/>
  <c r="O122" i="11"/>
  <c r="L119" i="11"/>
  <c r="O119" i="11" s="1"/>
  <c r="I82" i="11"/>
  <c r="N26" i="11"/>
  <c r="N24" i="11" s="1"/>
  <c r="K260" i="11"/>
  <c r="L243" i="11"/>
  <c r="S175" i="11"/>
  <c r="S173" i="11" s="1"/>
  <c r="I156" i="11"/>
  <c r="K156" i="11" s="1"/>
  <c r="I169" i="11"/>
  <c r="K169" i="11" s="1"/>
  <c r="P162" i="11"/>
  <c r="Q142" i="11"/>
  <c r="Q141" i="11"/>
  <c r="K137" i="11"/>
  <c r="K93" i="11"/>
  <c r="P99" i="11"/>
  <c r="N97" i="11"/>
  <c r="N96" i="11"/>
  <c r="N94" i="11" s="1"/>
  <c r="P52" i="11"/>
  <c r="M26" i="11"/>
  <c r="P26" i="11" s="1"/>
  <c r="M50" i="11"/>
  <c r="P50" i="11" s="1"/>
  <c r="L26" i="11"/>
  <c r="P22" i="11"/>
  <c r="M19" i="11"/>
  <c r="I116" i="11"/>
  <c r="K116" i="11" s="1"/>
  <c r="K127" i="11"/>
  <c r="R120" i="11"/>
  <c r="O102" i="11"/>
  <c r="L100" i="11"/>
  <c r="O100" i="11" s="1"/>
  <c r="O99" i="11"/>
  <c r="L97" i="11"/>
  <c r="L96" i="11"/>
  <c r="L94" i="11" s="1"/>
  <c r="O95" i="11"/>
  <c r="R26" i="11"/>
  <c r="U75" i="11"/>
  <c r="P67" i="11"/>
  <c r="M65" i="11"/>
  <c r="P65" i="11" s="1"/>
  <c r="O47" i="11"/>
  <c r="P25" i="11"/>
  <c r="O19" i="11"/>
  <c r="S160" i="11"/>
  <c r="M160" i="11"/>
  <c r="P160" i="11" s="1"/>
  <c r="N142" i="11"/>
  <c r="S120" i="11"/>
  <c r="M120" i="11"/>
  <c r="P120" i="11" s="1"/>
  <c r="U80" i="11"/>
  <c r="O80" i="11"/>
  <c r="Q78" i="11"/>
  <c r="T78" i="11" s="1"/>
  <c r="U77" i="11"/>
  <c r="O77" i="11"/>
  <c r="Q75" i="11"/>
  <c r="T75" i="11" s="1"/>
  <c r="O64" i="11"/>
  <c r="N50" i="11"/>
  <c r="O49" i="11"/>
  <c r="N23" i="11"/>
  <c r="N74" i="11"/>
  <c r="N61" i="11"/>
  <c r="N59" i="11" s="1"/>
  <c r="N46" i="11"/>
  <c r="N44" i="11" s="1"/>
  <c r="S26" i="11"/>
  <c r="S24" i="11" s="1"/>
  <c r="S23" i="11"/>
  <c r="M23" i="11"/>
  <c r="Q19" i="11"/>
  <c r="Q96" i="11"/>
  <c r="K85" i="11"/>
  <c r="S74" i="11"/>
  <c r="S72" i="11" s="1"/>
  <c r="M74" i="11"/>
  <c r="M61" i="11"/>
  <c r="M46" i="11"/>
  <c r="R23" i="11"/>
  <c r="L23" i="11"/>
  <c r="Q23" i="11"/>
  <c r="L378" i="10"/>
  <c r="O378" i="10" s="1"/>
  <c r="O380" i="10"/>
  <c r="L377" i="10"/>
  <c r="L375" i="10" s="1"/>
  <c r="O375" i="10" s="1"/>
  <c r="K784" i="9"/>
  <c r="K676" i="9"/>
  <c r="K654" i="9"/>
  <c r="K368" i="9"/>
  <c r="M96" i="9"/>
  <c r="M760" i="10"/>
  <c r="P760" i="10" s="1"/>
  <c r="M561" i="10"/>
  <c r="P561" i="10" s="1"/>
  <c r="P563" i="10"/>
  <c r="O535" i="10"/>
  <c r="R377" i="10"/>
  <c r="R375" i="10" s="1"/>
  <c r="U380" i="10"/>
  <c r="K252" i="8"/>
  <c r="Q97" i="8"/>
  <c r="T97" i="8" s="1"/>
  <c r="K778" i="9"/>
  <c r="K679" i="9"/>
  <c r="M284" i="9"/>
  <c r="M282" i="9" s="1"/>
  <c r="K785" i="10"/>
  <c r="R714" i="10"/>
  <c r="U714" i="10" s="1"/>
  <c r="M557" i="10"/>
  <c r="P557" i="10" s="1"/>
  <c r="R555" i="10"/>
  <c r="U555" i="10" s="1"/>
  <c r="U557" i="10"/>
  <c r="S534" i="10"/>
  <c r="N392" i="10"/>
  <c r="R394" i="8"/>
  <c r="U394" i="8" s="1"/>
  <c r="J702" i="9"/>
  <c r="K661" i="9"/>
  <c r="K631" i="9"/>
  <c r="L222" i="9"/>
  <c r="O222" i="9" s="1"/>
  <c r="R762" i="10"/>
  <c r="I759" i="10"/>
  <c r="K759" i="10" s="1"/>
  <c r="Q730" i="10"/>
  <c r="Q728" i="10" s="1"/>
  <c r="N728" i="10"/>
  <c r="O715" i="10"/>
  <c r="R693" i="10"/>
  <c r="R692" i="10"/>
  <c r="U692" i="10" s="1"/>
  <c r="T604" i="10"/>
  <c r="Q602" i="10"/>
  <c r="T602" i="10" s="1"/>
  <c r="K779" i="8"/>
  <c r="T191" i="8"/>
  <c r="K780" i="9"/>
  <c r="U607" i="9"/>
  <c r="P584" i="9"/>
  <c r="P542" i="9"/>
  <c r="U377" i="9"/>
  <c r="M305" i="9"/>
  <c r="P305" i="9" s="1"/>
  <c r="M288" i="9"/>
  <c r="P288" i="9" s="1"/>
  <c r="O102" i="9"/>
  <c r="P80" i="9"/>
  <c r="K784" i="10"/>
  <c r="K772" i="10"/>
  <c r="U765" i="10"/>
  <c r="N714" i="10"/>
  <c r="K709" i="10"/>
  <c r="Q693" i="10"/>
  <c r="Q692" i="10"/>
  <c r="L419" i="10"/>
  <c r="O419" i="10" s="1"/>
  <c r="O421" i="10"/>
  <c r="K784" i="8"/>
  <c r="O144" i="8"/>
  <c r="M119" i="8"/>
  <c r="P119" i="8" s="1"/>
  <c r="K785" i="9"/>
  <c r="I701" i="9"/>
  <c r="O539" i="9"/>
  <c r="L309" i="9"/>
  <c r="O309" i="9" s="1"/>
  <c r="K260" i="9"/>
  <c r="L760" i="10"/>
  <c r="O760" i="10" s="1"/>
  <c r="M605" i="10"/>
  <c r="P605" i="10" s="1"/>
  <c r="P607" i="10"/>
  <c r="K440" i="10"/>
  <c r="J423" i="10"/>
  <c r="J412" i="10" s="1"/>
  <c r="K412" i="10"/>
  <c r="R378" i="10"/>
  <c r="T159" i="10"/>
  <c r="R644" i="10"/>
  <c r="U644" i="10" s="1"/>
  <c r="L642" i="10"/>
  <c r="O642" i="10" s="1"/>
  <c r="Q605" i="10"/>
  <c r="T605" i="10" s="1"/>
  <c r="N578" i="10"/>
  <c r="N576" i="10" s="1"/>
  <c r="L579" i="10"/>
  <c r="O579" i="10" s="1"/>
  <c r="N415" i="10"/>
  <c r="N413" i="10" s="1"/>
  <c r="Q378" i="10"/>
  <c r="S305" i="10"/>
  <c r="T305" i="10" s="1"/>
  <c r="I302" i="10"/>
  <c r="K302" i="10" s="1"/>
  <c r="O290" i="10"/>
  <c r="L269" i="10"/>
  <c r="O269" i="10" s="1"/>
  <c r="L254" i="10"/>
  <c r="O254" i="10" s="1"/>
  <c r="L233" i="10"/>
  <c r="K229" i="10"/>
  <c r="O187" i="10"/>
  <c r="T178" i="10"/>
  <c r="R176" i="10"/>
  <c r="U176" i="10" s="1"/>
  <c r="M175" i="10"/>
  <c r="M173" i="10" s="1"/>
  <c r="K169" i="10"/>
  <c r="M145" i="10"/>
  <c r="P145" i="10" s="1"/>
  <c r="O67" i="10"/>
  <c r="L61" i="10"/>
  <c r="L59" i="10" s="1"/>
  <c r="R44" i="10"/>
  <c r="U44" i="10" s="1"/>
  <c r="K615" i="10"/>
  <c r="N557" i="10"/>
  <c r="N555" i="10" s="1"/>
  <c r="N558" i="10"/>
  <c r="R534" i="10"/>
  <c r="U534" i="10" s="1"/>
  <c r="M519" i="10"/>
  <c r="P519" i="10" s="1"/>
  <c r="M515" i="10"/>
  <c r="P501" i="10"/>
  <c r="L495" i="10"/>
  <c r="K425" i="10"/>
  <c r="P383" i="10"/>
  <c r="N378" i="10"/>
  <c r="P361" i="10"/>
  <c r="M358" i="10"/>
  <c r="M356" i="10" s="1"/>
  <c r="J332" i="10"/>
  <c r="K332" i="10" s="1"/>
  <c r="U306" i="10"/>
  <c r="R305" i="10"/>
  <c r="R303" i="10" s="1"/>
  <c r="I202" i="10"/>
  <c r="K202" i="10" s="1"/>
  <c r="Q176" i="10"/>
  <c r="T176" i="10" s="1"/>
  <c r="P165" i="10"/>
  <c r="N159" i="10"/>
  <c r="N157" i="10" s="1"/>
  <c r="K154" i="10"/>
  <c r="O147" i="10"/>
  <c r="N141" i="10"/>
  <c r="N139" i="10" s="1"/>
  <c r="K109" i="10"/>
  <c r="P102" i="10"/>
  <c r="L74" i="10"/>
  <c r="L72" i="10" s="1"/>
  <c r="L75" i="10"/>
  <c r="O75" i="10" s="1"/>
  <c r="O65" i="10"/>
  <c r="O52" i="10"/>
  <c r="S44" i="10"/>
  <c r="Q44" i="10"/>
  <c r="T44" i="10" s="1"/>
  <c r="O22" i="10"/>
  <c r="Q619" i="10"/>
  <c r="T619" i="10" s="1"/>
  <c r="S618" i="10"/>
  <c r="S616" i="10" s="1"/>
  <c r="Q616" i="10"/>
  <c r="N601" i="10"/>
  <c r="N599" i="10" s="1"/>
  <c r="L536" i="10"/>
  <c r="O536" i="10" s="1"/>
  <c r="L515" i="10"/>
  <c r="O515" i="10" s="1"/>
  <c r="L499" i="10"/>
  <c r="O499" i="10" s="1"/>
  <c r="R496" i="10"/>
  <c r="U496" i="10" s="1"/>
  <c r="J458" i="10"/>
  <c r="K458" i="10" s="1"/>
  <c r="K424" i="10"/>
  <c r="I374" i="10"/>
  <c r="K371" i="10"/>
  <c r="T357" i="10"/>
  <c r="P311" i="10"/>
  <c r="L305" i="10"/>
  <c r="O305" i="10" s="1"/>
  <c r="M284" i="10"/>
  <c r="M282" i="10" s="1"/>
  <c r="K260" i="10"/>
  <c r="I213" i="10"/>
  <c r="K213" i="10" s="1"/>
  <c r="I195" i="10"/>
  <c r="K195" i="10" s="1"/>
  <c r="R192" i="10"/>
  <c r="U192" i="10" s="1"/>
  <c r="N176" i="10"/>
  <c r="O176" i="10" s="1"/>
  <c r="O165" i="10"/>
  <c r="T162" i="10"/>
  <c r="M159" i="10"/>
  <c r="U144" i="10"/>
  <c r="I137" i="10"/>
  <c r="K137" i="10" s="1"/>
  <c r="P125" i="10"/>
  <c r="N119" i="10"/>
  <c r="N117" i="10" s="1"/>
  <c r="M96" i="10"/>
  <c r="S97" i="10"/>
  <c r="T97" i="10" s="1"/>
  <c r="P80" i="10"/>
  <c r="R74" i="10"/>
  <c r="R72" i="10" s="1"/>
  <c r="T73" i="10"/>
  <c r="T60" i="10"/>
  <c r="L46" i="10"/>
  <c r="L44" i="10" s="1"/>
  <c r="N19" i="10"/>
  <c r="M690" i="10"/>
  <c r="P690" i="10" s="1"/>
  <c r="S601" i="10"/>
  <c r="S599" i="10" s="1"/>
  <c r="M601" i="10"/>
  <c r="P601" i="10" s="1"/>
  <c r="Q576" i="10"/>
  <c r="T576" i="10" s="1"/>
  <c r="Q555" i="10"/>
  <c r="T555" i="10" s="1"/>
  <c r="O539" i="10"/>
  <c r="T418" i="10"/>
  <c r="K365" i="10"/>
  <c r="P325" i="10"/>
  <c r="I319" i="10"/>
  <c r="K319" i="10" s="1"/>
  <c r="O311" i="10"/>
  <c r="K281" i="10"/>
  <c r="R282" i="10"/>
  <c r="U282" i="10" s="1"/>
  <c r="N268" i="10"/>
  <c r="N266" i="10" s="1"/>
  <c r="L236" i="10"/>
  <c r="R189" i="10"/>
  <c r="U189" i="10" s="1"/>
  <c r="Q160" i="10"/>
  <c r="T160" i="10" s="1"/>
  <c r="U147" i="10"/>
  <c r="L141" i="10"/>
  <c r="U125" i="10"/>
  <c r="O125" i="10"/>
  <c r="M119" i="10"/>
  <c r="P119" i="10" s="1"/>
  <c r="R120" i="10"/>
  <c r="K108" i="10"/>
  <c r="M97" i="10"/>
  <c r="Q74" i="10"/>
  <c r="Q72" i="10" s="1"/>
  <c r="P64" i="10"/>
  <c r="O62" i="10"/>
  <c r="U22" i="10"/>
  <c r="J674" i="10"/>
  <c r="U647" i="10"/>
  <c r="L601" i="10"/>
  <c r="O601" i="10" s="1"/>
  <c r="L561" i="10"/>
  <c r="O561" i="10" s="1"/>
  <c r="O542" i="10"/>
  <c r="N536" i="10"/>
  <c r="N534" i="10" s="1"/>
  <c r="M516" i="10"/>
  <c r="P516" i="10" s="1"/>
  <c r="L496" i="10"/>
  <c r="O496" i="10" s="1"/>
  <c r="K432" i="10"/>
  <c r="M377" i="10"/>
  <c r="P377" i="10" s="1"/>
  <c r="S378" i="10"/>
  <c r="L362" i="10"/>
  <c r="O362" i="10" s="1"/>
  <c r="J351" i="10"/>
  <c r="M323" i="10"/>
  <c r="P323" i="10" s="1"/>
  <c r="P274" i="10"/>
  <c r="Q269" i="10"/>
  <c r="L203" i="10"/>
  <c r="O203" i="10" s="1"/>
  <c r="N175" i="10"/>
  <c r="N173" i="10" s="1"/>
  <c r="N160" i="10"/>
  <c r="R141" i="10"/>
  <c r="U141" i="10" s="1"/>
  <c r="Q142" i="10"/>
  <c r="T142" i="10" s="1"/>
  <c r="S119" i="10"/>
  <c r="S117" i="10" s="1"/>
  <c r="Q120" i="10"/>
  <c r="P77" i="10"/>
  <c r="R59" i="10"/>
  <c r="U59" i="10" s="1"/>
  <c r="R728" i="10"/>
  <c r="K630" i="10"/>
  <c r="L392" i="10"/>
  <c r="O392" i="10" s="1"/>
  <c r="O393" i="10"/>
  <c r="I280" i="10"/>
  <c r="K280" i="10" s="1"/>
  <c r="K293" i="10"/>
  <c r="J674" i="6"/>
  <c r="K674" i="6" s="1"/>
  <c r="K689" i="8"/>
  <c r="J702" i="8"/>
  <c r="U647" i="8"/>
  <c r="R395" i="8"/>
  <c r="U395" i="8" s="1"/>
  <c r="L100" i="8"/>
  <c r="O100" i="8" s="1"/>
  <c r="Q74" i="8"/>
  <c r="Q72" i="8" s="1"/>
  <c r="K782" i="9"/>
  <c r="R763" i="9"/>
  <c r="T730" i="9"/>
  <c r="K709" i="9"/>
  <c r="K703" i="9"/>
  <c r="R644" i="9"/>
  <c r="U644" i="9" s="1"/>
  <c r="S618" i="9"/>
  <c r="S616" i="9" s="1"/>
  <c r="O563" i="9"/>
  <c r="O521" i="9"/>
  <c r="P501" i="9"/>
  <c r="P421" i="9"/>
  <c r="U418" i="9"/>
  <c r="T377" i="9"/>
  <c r="K369" i="9"/>
  <c r="P311" i="9"/>
  <c r="K229" i="9"/>
  <c r="M188" i="9"/>
  <c r="M186" i="9" s="1"/>
  <c r="K169" i="9"/>
  <c r="K154" i="9"/>
  <c r="K109" i="9"/>
  <c r="P64" i="9"/>
  <c r="Q762" i="10"/>
  <c r="T762" i="10" s="1"/>
  <c r="N760" i="10"/>
  <c r="M728" i="10"/>
  <c r="P728" i="10" s="1"/>
  <c r="S714" i="10"/>
  <c r="M714" i="10"/>
  <c r="P714" i="10" s="1"/>
  <c r="U607" i="10"/>
  <c r="U604" i="10"/>
  <c r="P584" i="10"/>
  <c r="M582" i="10"/>
  <c r="P582" i="10" s="1"/>
  <c r="M578" i="10"/>
  <c r="P578" i="10" s="1"/>
  <c r="U578" i="10"/>
  <c r="L578" i="10"/>
  <c r="L557" i="10"/>
  <c r="J503" i="10"/>
  <c r="J492" i="10" s="1"/>
  <c r="K504" i="10"/>
  <c r="M495" i="10"/>
  <c r="P495" i="10" s="1"/>
  <c r="M496" i="10"/>
  <c r="P496" i="10" s="1"/>
  <c r="U393" i="10"/>
  <c r="N305" i="10"/>
  <c r="N303" i="10" s="1"/>
  <c r="N306" i="10"/>
  <c r="K631" i="10"/>
  <c r="K629" i="10"/>
  <c r="Q395" i="10"/>
  <c r="T395" i="10" s="1"/>
  <c r="T397" i="10"/>
  <c r="P376" i="10"/>
  <c r="N335" i="10"/>
  <c r="N333" i="10" s="1"/>
  <c r="N336" i="10"/>
  <c r="O336" i="10" s="1"/>
  <c r="K292" i="8"/>
  <c r="J701" i="9"/>
  <c r="K365" i="9"/>
  <c r="J332" i="9"/>
  <c r="K332" i="9" s="1"/>
  <c r="K330" i="9"/>
  <c r="L268" i="9"/>
  <c r="L266" i="9" s="1"/>
  <c r="L235" i="9"/>
  <c r="K198" i="9"/>
  <c r="T191" i="9"/>
  <c r="I138" i="9"/>
  <c r="K138" i="9" s="1"/>
  <c r="L78" i="9"/>
  <c r="O78" i="9" s="1"/>
  <c r="R601" i="10"/>
  <c r="S555" i="10"/>
  <c r="K503" i="10"/>
  <c r="I492" i="10"/>
  <c r="K492" i="10" s="1"/>
  <c r="S495" i="10"/>
  <c r="S493" i="10" s="1"/>
  <c r="S496" i="10"/>
  <c r="Q394" i="10"/>
  <c r="T394" i="10" s="1"/>
  <c r="J343" i="10"/>
  <c r="O325" i="10"/>
  <c r="L322" i="10"/>
  <c r="O322" i="10" s="1"/>
  <c r="L323" i="10"/>
  <c r="O323" i="10" s="1"/>
  <c r="N284" i="10"/>
  <c r="N285" i="10"/>
  <c r="P285" i="10" s="1"/>
  <c r="P287" i="10"/>
  <c r="K705" i="5"/>
  <c r="K330" i="5"/>
  <c r="M519" i="7"/>
  <c r="P519" i="7" s="1"/>
  <c r="S731" i="10"/>
  <c r="T733" i="10"/>
  <c r="S730" i="10"/>
  <c r="U730" i="10" s="1"/>
  <c r="T644" i="10"/>
  <c r="P643" i="10"/>
  <c r="O560" i="10"/>
  <c r="P542" i="10"/>
  <c r="M540" i="10"/>
  <c r="P540" i="10" s="1"/>
  <c r="M536" i="10"/>
  <c r="P536" i="10" s="1"/>
  <c r="N515" i="10"/>
  <c r="N513" i="10" s="1"/>
  <c r="O514" i="10"/>
  <c r="T377" i="10"/>
  <c r="Q375" i="10"/>
  <c r="T335" i="10"/>
  <c r="Q333" i="10"/>
  <c r="T333" i="10" s="1"/>
  <c r="M189" i="10"/>
  <c r="P189" i="10" s="1"/>
  <c r="P191" i="10"/>
  <c r="M188" i="10"/>
  <c r="R618" i="10"/>
  <c r="O274" i="10"/>
  <c r="L272" i="10"/>
  <c r="O272" i="10" s="1"/>
  <c r="K653" i="6"/>
  <c r="K371" i="8"/>
  <c r="N358" i="8"/>
  <c r="N356" i="8" s="1"/>
  <c r="S175" i="8"/>
  <c r="U175" i="8" s="1"/>
  <c r="U765" i="9"/>
  <c r="T733" i="9"/>
  <c r="J675" i="9"/>
  <c r="K675" i="9" s="1"/>
  <c r="M415" i="9"/>
  <c r="M413" i="9" s="1"/>
  <c r="S416" i="9"/>
  <c r="Q394" i="9"/>
  <c r="T394" i="9" s="1"/>
  <c r="T380" i="9"/>
  <c r="K346" i="9"/>
  <c r="N284" i="9"/>
  <c r="K220" i="9"/>
  <c r="L214" i="9"/>
  <c r="O214" i="9" s="1"/>
  <c r="M159" i="9"/>
  <c r="M157" i="9" s="1"/>
  <c r="R159" i="9"/>
  <c r="U159" i="9" s="1"/>
  <c r="K152" i="9"/>
  <c r="S119" i="9"/>
  <c r="S117" i="9" s="1"/>
  <c r="O62" i="9"/>
  <c r="K781" i="10"/>
  <c r="T765" i="10"/>
  <c r="P729" i="10"/>
  <c r="P715" i="10"/>
  <c r="J701" i="10"/>
  <c r="U695" i="10"/>
  <c r="L690" i="10"/>
  <c r="O690" i="10" s="1"/>
  <c r="O643" i="10"/>
  <c r="K632" i="10"/>
  <c r="K626" i="10"/>
  <c r="U621" i="10"/>
  <c r="M616" i="10"/>
  <c r="P616" i="10" s="1"/>
  <c r="O521" i="10"/>
  <c r="L519" i="10"/>
  <c r="O519" i="10" s="1"/>
  <c r="T515" i="10"/>
  <c r="U514" i="10"/>
  <c r="P418" i="10"/>
  <c r="M415" i="10"/>
  <c r="M416" i="10"/>
  <c r="P416" i="10" s="1"/>
  <c r="S413" i="10"/>
  <c r="S269" i="10"/>
  <c r="S268" i="10"/>
  <c r="U268" i="10" s="1"/>
  <c r="U271" i="10"/>
  <c r="L268" i="10"/>
  <c r="L235" i="10"/>
  <c r="L243" i="10"/>
  <c r="S192" i="10"/>
  <c r="S188" i="10"/>
  <c r="S186" i="10" s="1"/>
  <c r="S601" i="9"/>
  <c r="S599" i="9" s="1"/>
  <c r="O581" i="9"/>
  <c r="S392" i="9"/>
  <c r="S375" i="9"/>
  <c r="N322" i="9"/>
  <c r="N320" i="9" s="1"/>
  <c r="O287" i="9"/>
  <c r="K249" i="9"/>
  <c r="O194" i="9"/>
  <c r="T695" i="10"/>
  <c r="P600" i="10"/>
  <c r="O584" i="10"/>
  <c r="P560" i="10"/>
  <c r="M558" i="10"/>
  <c r="P558" i="10" s="1"/>
  <c r="P357" i="10"/>
  <c r="S602" i="10"/>
  <c r="M602" i="10"/>
  <c r="P602" i="10" s="1"/>
  <c r="Q601" i="10"/>
  <c r="M579" i="10"/>
  <c r="P579" i="10" s="1"/>
  <c r="M537" i="10"/>
  <c r="P537" i="10" s="1"/>
  <c r="L516" i="10"/>
  <c r="O516" i="10" s="1"/>
  <c r="Q495" i="10"/>
  <c r="K423" i="10"/>
  <c r="T393" i="10"/>
  <c r="M392" i="10"/>
  <c r="P392" i="10" s="1"/>
  <c r="L381" i="10"/>
  <c r="O381" i="10" s="1"/>
  <c r="O361" i="10"/>
  <c r="M339" i="10"/>
  <c r="P339" i="10" s="1"/>
  <c r="P338" i="10"/>
  <c r="M336" i="10"/>
  <c r="M335" i="10"/>
  <c r="T308" i="10"/>
  <c r="M306" i="10"/>
  <c r="P306" i="10" s="1"/>
  <c r="M305" i="10"/>
  <c r="P305" i="10" s="1"/>
  <c r="P308" i="10"/>
  <c r="K292" i="10"/>
  <c r="M288" i="10"/>
  <c r="P288" i="10" s="1"/>
  <c r="R266" i="10"/>
  <c r="P267" i="10"/>
  <c r="L234" i="10"/>
  <c r="J457" i="10"/>
  <c r="T414" i="10"/>
  <c r="S356" i="10"/>
  <c r="L339" i="10"/>
  <c r="O339" i="10" s="1"/>
  <c r="L335" i="10"/>
  <c r="O321" i="10"/>
  <c r="R356" i="10"/>
  <c r="U356" i="10" s="1"/>
  <c r="P304" i="10"/>
  <c r="S19" i="10"/>
  <c r="T621" i="10"/>
  <c r="Q496" i="10"/>
  <c r="T496" i="10" s="1"/>
  <c r="M419" i="10"/>
  <c r="P419" i="10" s="1"/>
  <c r="O418" i="10"/>
  <c r="L415" i="10"/>
  <c r="O414" i="10"/>
  <c r="J374" i="10"/>
  <c r="K368" i="10"/>
  <c r="L358" i="10"/>
  <c r="Q320" i="10"/>
  <c r="T320" i="10" s="1"/>
  <c r="O304" i="10"/>
  <c r="Q266" i="10"/>
  <c r="T267" i="10"/>
  <c r="N495" i="10"/>
  <c r="N493" i="10" s="1"/>
  <c r="P494" i="10"/>
  <c r="U418" i="10"/>
  <c r="R415" i="10"/>
  <c r="U415" i="10" s="1"/>
  <c r="N358" i="10"/>
  <c r="O338" i="10"/>
  <c r="R320" i="10"/>
  <c r="U320" i="10" s="1"/>
  <c r="Q282" i="10"/>
  <c r="T282" i="10" s="1"/>
  <c r="T283" i="10"/>
  <c r="M269" i="10"/>
  <c r="P269" i="10" s="1"/>
  <c r="P271" i="10"/>
  <c r="M141" i="10"/>
  <c r="L120" i="10"/>
  <c r="O120" i="10" s="1"/>
  <c r="L119" i="10"/>
  <c r="O122" i="10"/>
  <c r="T174" i="10"/>
  <c r="Q173" i="10"/>
  <c r="T173" i="10" s="1"/>
  <c r="S141" i="10"/>
  <c r="S139" i="10" s="1"/>
  <c r="S142" i="10"/>
  <c r="R119" i="10"/>
  <c r="Q26" i="10"/>
  <c r="O287" i="10"/>
  <c r="T191" i="10"/>
  <c r="Q189" i="10"/>
  <c r="T189" i="10" s="1"/>
  <c r="L179" i="10"/>
  <c r="O179" i="10" s="1"/>
  <c r="P158" i="10"/>
  <c r="R333" i="10"/>
  <c r="U333" i="10" s="1"/>
  <c r="R269" i="10"/>
  <c r="I242" i="10"/>
  <c r="K249" i="10"/>
  <c r="L214" i="10"/>
  <c r="O214" i="10" s="1"/>
  <c r="T194" i="10"/>
  <c r="Q192" i="10"/>
  <c r="T192" i="10" s="1"/>
  <c r="L160" i="10"/>
  <c r="O160" i="10" s="1"/>
  <c r="O162" i="10"/>
  <c r="M142" i="10"/>
  <c r="P142" i="10" s="1"/>
  <c r="K87" i="10"/>
  <c r="I83" i="10"/>
  <c r="U19" i="10"/>
  <c r="L285" i="10"/>
  <c r="I265" i="10"/>
  <c r="K265" i="10" s="1"/>
  <c r="P194" i="10"/>
  <c r="T187" i="10"/>
  <c r="S176" i="10"/>
  <c r="S175" i="10"/>
  <c r="S173" i="10" s="1"/>
  <c r="U162" i="10"/>
  <c r="R159" i="10"/>
  <c r="T147" i="10"/>
  <c r="Q141" i="10"/>
  <c r="T141" i="10" s="1"/>
  <c r="Q145" i="10"/>
  <c r="T145" i="10" s="1"/>
  <c r="T140" i="10"/>
  <c r="I116" i="10"/>
  <c r="K116" i="10" s="1"/>
  <c r="K127" i="10"/>
  <c r="P47" i="10"/>
  <c r="T271" i="10"/>
  <c r="K230" i="10"/>
  <c r="U191" i="10"/>
  <c r="O191" i="10"/>
  <c r="P181" i="10"/>
  <c r="O178" i="10"/>
  <c r="L175" i="10"/>
  <c r="S157" i="10"/>
  <c r="K153" i="10"/>
  <c r="P99" i="10"/>
  <c r="N97" i="10"/>
  <c r="I82" i="10"/>
  <c r="N26" i="10"/>
  <c r="N24" i="10" s="1"/>
  <c r="N188" i="10"/>
  <c r="N120" i="10"/>
  <c r="O95" i="10"/>
  <c r="P52" i="10"/>
  <c r="M26" i="10"/>
  <c r="M24" i="10" s="1"/>
  <c r="M50" i="10"/>
  <c r="P50" i="10" s="1"/>
  <c r="U95" i="10"/>
  <c r="L26" i="10"/>
  <c r="P22" i="10"/>
  <c r="M19" i="10"/>
  <c r="R26" i="10"/>
  <c r="P75" i="10"/>
  <c r="U75" i="10"/>
  <c r="P67" i="10"/>
  <c r="M65" i="10"/>
  <c r="P65" i="10" s="1"/>
  <c r="O47" i="10"/>
  <c r="P25" i="10"/>
  <c r="O19" i="10"/>
  <c r="S160" i="10"/>
  <c r="M160" i="10"/>
  <c r="N142" i="10"/>
  <c r="S120" i="10"/>
  <c r="M120" i="10"/>
  <c r="P120" i="10" s="1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R96" i="10"/>
  <c r="U96" i="10" s="1"/>
  <c r="L96" i="10"/>
  <c r="N74" i="10"/>
  <c r="N61" i="10"/>
  <c r="N59" i="10" s="1"/>
  <c r="N46" i="10"/>
  <c r="S26" i="10"/>
  <c r="S24" i="10" s="1"/>
  <c r="S23" i="10"/>
  <c r="M23" i="10"/>
  <c r="M21" i="10" s="1"/>
  <c r="Q19" i="10"/>
  <c r="Q96" i="10"/>
  <c r="S74" i="10"/>
  <c r="S72" i="10" s="1"/>
  <c r="M74" i="10"/>
  <c r="M61" i="10"/>
  <c r="M46" i="10"/>
  <c r="R23" i="10"/>
  <c r="L23" i="10"/>
  <c r="L100" i="10"/>
  <c r="O100" i="10" s="1"/>
  <c r="R97" i="10"/>
  <c r="L97" i="10"/>
  <c r="Q23" i="10"/>
  <c r="K346" i="8"/>
  <c r="M78" i="8"/>
  <c r="P78" i="8" s="1"/>
  <c r="M516" i="9"/>
  <c r="P516" i="9" s="1"/>
  <c r="M515" i="9"/>
  <c r="P515" i="9" s="1"/>
  <c r="P518" i="9"/>
  <c r="I492" i="9"/>
  <c r="K492" i="9" s="1"/>
  <c r="K503" i="9"/>
  <c r="N119" i="9"/>
  <c r="N117" i="9" s="1"/>
  <c r="N120" i="9"/>
  <c r="N46" i="9"/>
  <c r="N44" i="9" s="1"/>
  <c r="N47" i="9"/>
  <c r="P47" i="9" s="1"/>
  <c r="U175" i="7"/>
  <c r="Q78" i="7"/>
  <c r="T78" i="7" s="1"/>
  <c r="M515" i="8"/>
  <c r="P515" i="8" s="1"/>
  <c r="K432" i="8"/>
  <c r="P328" i="8"/>
  <c r="U308" i="8"/>
  <c r="L305" i="8"/>
  <c r="L303" i="8" s="1"/>
  <c r="K209" i="8"/>
  <c r="L175" i="8"/>
  <c r="L173" i="8" s="1"/>
  <c r="Q728" i="9"/>
  <c r="U621" i="9"/>
  <c r="R618" i="9"/>
  <c r="U618" i="9" s="1"/>
  <c r="R619" i="9"/>
  <c r="U619" i="9" s="1"/>
  <c r="O584" i="9"/>
  <c r="L582" i="9"/>
  <c r="O582" i="9" s="1"/>
  <c r="R395" i="9"/>
  <c r="U395" i="9" s="1"/>
  <c r="U397" i="9"/>
  <c r="R394" i="9"/>
  <c r="U394" i="9" s="1"/>
  <c r="Q176" i="9"/>
  <c r="T176" i="9" s="1"/>
  <c r="Q175" i="9"/>
  <c r="T178" i="9"/>
  <c r="Q160" i="9"/>
  <c r="T160" i="9" s="1"/>
  <c r="T162" i="9"/>
  <c r="N322" i="8"/>
  <c r="N320" i="8" s="1"/>
  <c r="L236" i="8"/>
  <c r="Q188" i="8"/>
  <c r="Q186" i="8" s="1"/>
  <c r="Q763" i="9"/>
  <c r="T765" i="9"/>
  <c r="N495" i="9"/>
  <c r="N493" i="9" s="1"/>
  <c r="N496" i="9"/>
  <c r="L362" i="9"/>
  <c r="O362" i="9" s="1"/>
  <c r="O364" i="9"/>
  <c r="R192" i="9"/>
  <c r="U192" i="9" s="1"/>
  <c r="U194" i="9"/>
  <c r="P125" i="9"/>
  <c r="M123" i="9"/>
  <c r="P123" i="9" s="1"/>
  <c r="K682" i="6"/>
  <c r="M305" i="7"/>
  <c r="M303" i="7" s="1"/>
  <c r="P303" i="7" s="1"/>
  <c r="P308" i="7"/>
  <c r="L233" i="7"/>
  <c r="K783" i="8"/>
  <c r="U380" i="8"/>
  <c r="K127" i="8"/>
  <c r="I116" i="8"/>
  <c r="K116" i="8" s="1"/>
  <c r="R123" i="8"/>
  <c r="U123" i="8" s="1"/>
  <c r="Q760" i="9"/>
  <c r="T761" i="9"/>
  <c r="L381" i="9"/>
  <c r="O381" i="9" s="1"/>
  <c r="O383" i="9"/>
  <c r="R188" i="9"/>
  <c r="R186" i="9" s="1"/>
  <c r="R189" i="9"/>
  <c r="U189" i="9" s="1"/>
  <c r="U191" i="9"/>
  <c r="Q141" i="9"/>
  <c r="T141" i="9" s="1"/>
  <c r="Q142" i="9"/>
  <c r="T142" i="9" s="1"/>
  <c r="T144" i="9"/>
  <c r="R576" i="9"/>
  <c r="U576" i="9" s="1"/>
  <c r="U577" i="9"/>
  <c r="I265" i="9"/>
  <c r="K265" i="9" s="1"/>
  <c r="K276" i="9"/>
  <c r="P607" i="8"/>
  <c r="Q192" i="8"/>
  <c r="T192" i="8" s="1"/>
  <c r="K153" i="8"/>
  <c r="U147" i="8"/>
  <c r="O691" i="9"/>
  <c r="L690" i="9"/>
  <c r="O690" i="9" s="1"/>
  <c r="L616" i="9"/>
  <c r="O616" i="9" s="1"/>
  <c r="O617" i="9"/>
  <c r="M602" i="9"/>
  <c r="P602" i="9" s="1"/>
  <c r="P604" i="9"/>
  <c r="M601" i="9"/>
  <c r="P601" i="9" s="1"/>
  <c r="P563" i="9"/>
  <c r="M561" i="9"/>
  <c r="P561" i="9" s="1"/>
  <c r="M326" i="9"/>
  <c r="P326" i="9" s="1"/>
  <c r="P328" i="9"/>
  <c r="N61" i="8"/>
  <c r="N59" i="8" s="1"/>
  <c r="K759" i="9"/>
  <c r="S763" i="9"/>
  <c r="Q731" i="9"/>
  <c r="N728" i="9"/>
  <c r="S714" i="9"/>
  <c r="L714" i="9"/>
  <c r="O714" i="9" s="1"/>
  <c r="M690" i="9"/>
  <c r="P690" i="9" s="1"/>
  <c r="K681" i="9"/>
  <c r="K678" i="9"/>
  <c r="Q644" i="9"/>
  <c r="T644" i="9" s="1"/>
  <c r="N642" i="9"/>
  <c r="R601" i="9"/>
  <c r="U601" i="9" s="1"/>
  <c r="L601" i="9"/>
  <c r="R602" i="9"/>
  <c r="U602" i="9" s="1"/>
  <c r="N536" i="9"/>
  <c r="N534" i="9" s="1"/>
  <c r="M495" i="9"/>
  <c r="P495" i="9" s="1"/>
  <c r="S496" i="9"/>
  <c r="T495" i="9"/>
  <c r="M377" i="9"/>
  <c r="P377" i="9" s="1"/>
  <c r="S378" i="9"/>
  <c r="J351" i="9"/>
  <c r="O325" i="9"/>
  <c r="M322" i="9"/>
  <c r="P322" i="9" s="1"/>
  <c r="U308" i="9"/>
  <c r="K293" i="9"/>
  <c r="O285" i="9"/>
  <c r="Q269" i="9"/>
  <c r="T269" i="9" s="1"/>
  <c r="L234" i="9"/>
  <c r="Q188" i="9"/>
  <c r="Q186" i="9" s="1"/>
  <c r="M163" i="9"/>
  <c r="P163" i="9" s="1"/>
  <c r="O162" i="9"/>
  <c r="N141" i="9"/>
  <c r="N139" i="9" s="1"/>
  <c r="M119" i="9"/>
  <c r="P119" i="9" s="1"/>
  <c r="S120" i="9"/>
  <c r="R97" i="9"/>
  <c r="U77" i="9"/>
  <c r="N74" i="9"/>
  <c r="N72" i="9" s="1"/>
  <c r="O64" i="9"/>
  <c r="Q19" i="9"/>
  <c r="R714" i="9"/>
  <c r="U714" i="9" s="1"/>
  <c r="Q602" i="9"/>
  <c r="T602" i="9" s="1"/>
  <c r="M536" i="9"/>
  <c r="P536" i="9" s="1"/>
  <c r="R496" i="9"/>
  <c r="U496" i="9" s="1"/>
  <c r="R495" i="9"/>
  <c r="U495" i="9" s="1"/>
  <c r="L377" i="9"/>
  <c r="O377" i="9" s="1"/>
  <c r="R378" i="9"/>
  <c r="S306" i="9"/>
  <c r="I202" i="9"/>
  <c r="K202" i="9" s="1"/>
  <c r="N188" i="9"/>
  <c r="N186" i="9" s="1"/>
  <c r="U162" i="9"/>
  <c r="K108" i="9"/>
  <c r="T99" i="9"/>
  <c r="L96" i="9"/>
  <c r="L97" i="9"/>
  <c r="U80" i="9"/>
  <c r="N61" i="9"/>
  <c r="N59" i="9" s="1"/>
  <c r="N19" i="9"/>
  <c r="M46" i="8"/>
  <c r="M44" i="8" s="1"/>
  <c r="M760" i="9"/>
  <c r="P760" i="9" s="1"/>
  <c r="S728" i="9"/>
  <c r="L728" i="9"/>
  <c r="O728" i="9" s="1"/>
  <c r="R692" i="9"/>
  <c r="U692" i="9" s="1"/>
  <c r="L605" i="9"/>
  <c r="O605" i="9" s="1"/>
  <c r="Q513" i="9"/>
  <c r="T513" i="9" s="1"/>
  <c r="Q496" i="9"/>
  <c r="T496" i="9" s="1"/>
  <c r="Q378" i="9"/>
  <c r="R303" i="9"/>
  <c r="L305" i="9"/>
  <c r="R306" i="9"/>
  <c r="K280" i="9"/>
  <c r="R74" i="9"/>
  <c r="U74" i="9" s="1"/>
  <c r="L74" i="9"/>
  <c r="P62" i="9"/>
  <c r="Q692" i="9"/>
  <c r="Q690" i="9" s="1"/>
  <c r="T690" i="9" s="1"/>
  <c r="T691" i="9"/>
  <c r="N690" i="9"/>
  <c r="K673" i="9"/>
  <c r="M642" i="9"/>
  <c r="P642" i="9" s="1"/>
  <c r="N616" i="9"/>
  <c r="P607" i="9"/>
  <c r="U604" i="9"/>
  <c r="O604" i="9"/>
  <c r="L602" i="9"/>
  <c r="O602" i="9" s="1"/>
  <c r="S555" i="9"/>
  <c r="P498" i="9"/>
  <c r="M416" i="9"/>
  <c r="T397" i="9"/>
  <c r="P380" i="9"/>
  <c r="O338" i="9"/>
  <c r="R320" i="9"/>
  <c r="U320" i="9" s="1"/>
  <c r="T308" i="9"/>
  <c r="M306" i="9"/>
  <c r="P306" i="9" s="1"/>
  <c r="K292" i="9"/>
  <c r="K221" i="9"/>
  <c r="T203" i="9"/>
  <c r="L188" i="9"/>
  <c r="L186" i="9" s="1"/>
  <c r="S160" i="9"/>
  <c r="N142" i="9"/>
  <c r="R26" i="9"/>
  <c r="U26" i="9" s="1"/>
  <c r="Q74" i="9"/>
  <c r="Q72" i="9" s="1"/>
  <c r="T72" i="9" s="1"/>
  <c r="N75" i="9"/>
  <c r="P49" i="9"/>
  <c r="K727" i="9"/>
  <c r="N714" i="9"/>
  <c r="K705" i="9"/>
  <c r="S642" i="9"/>
  <c r="L578" i="9"/>
  <c r="O578" i="9" s="1"/>
  <c r="S576" i="9"/>
  <c r="P521" i="9"/>
  <c r="L516" i="9"/>
  <c r="O516" i="9" s="1"/>
  <c r="L515" i="9"/>
  <c r="O515" i="9" s="1"/>
  <c r="O498" i="9"/>
  <c r="S493" i="9"/>
  <c r="U380" i="9"/>
  <c r="O380" i="9"/>
  <c r="M378" i="9"/>
  <c r="P378" i="9" s="1"/>
  <c r="S356" i="9"/>
  <c r="J343" i="9"/>
  <c r="P308" i="9"/>
  <c r="L306" i="9"/>
  <c r="O306" i="9" s="1"/>
  <c r="S303" i="9"/>
  <c r="L236" i="9"/>
  <c r="I238" i="9"/>
  <c r="K238" i="9" s="1"/>
  <c r="Q189" i="9"/>
  <c r="T189" i="9" s="1"/>
  <c r="M160" i="9"/>
  <c r="S141" i="9"/>
  <c r="S139" i="9" s="1"/>
  <c r="P77" i="9"/>
  <c r="L75" i="9"/>
  <c r="O75" i="9" s="1"/>
  <c r="O49" i="9"/>
  <c r="Q605" i="9"/>
  <c r="T605" i="9" s="1"/>
  <c r="Q416" i="9"/>
  <c r="T418" i="9"/>
  <c r="O290" i="9"/>
  <c r="L288" i="9"/>
  <c r="O288" i="9" s="1"/>
  <c r="K772" i="7"/>
  <c r="S728" i="7"/>
  <c r="K727" i="7"/>
  <c r="R26" i="7"/>
  <c r="R24" i="7" s="1"/>
  <c r="P581" i="7"/>
  <c r="O364" i="7"/>
  <c r="J343" i="7"/>
  <c r="K314" i="7"/>
  <c r="U191" i="7"/>
  <c r="K774" i="8"/>
  <c r="L516" i="8"/>
  <c r="O516" i="8" s="1"/>
  <c r="T498" i="8"/>
  <c r="O311" i="8"/>
  <c r="S268" i="8"/>
  <c r="S266" i="8" s="1"/>
  <c r="N176" i="8"/>
  <c r="N96" i="8"/>
  <c r="N94" i="8" s="1"/>
  <c r="I83" i="8"/>
  <c r="I71" i="8" s="1"/>
  <c r="K71" i="8" s="1"/>
  <c r="N46" i="8"/>
  <c r="N44" i="8" s="1"/>
  <c r="K772" i="9"/>
  <c r="S762" i="9"/>
  <c r="U762" i="9" s="1"/>
  <c r="R730" i="9"/>
  <c r="U733" i="9"/>
  <c r="M728" i="9"/>
  <c r="P728" i="9" s="1"/>
  <c r="K726" i="9"/>
  <c r="M714" i="9"/>
  <c r="P714" i="9" s="1"/>
  <c r="I689" i="9"/>
  <c r="K689" i="9" s="1"/>
  <c r="K707" i="9"/>
  <c r="J674" i="9"/>
  <c r="K674" i="9" s="1"/>
  <c r="K626" i="9"/>
  <c r="K630" i="9"/>
  <c r="K632" i="9"/>
  <c r="Q619" i="9"/>
  <c r="T619" i="9" s="1"/>
  <c r="T621" i="9"/>
  <c r="Q601" i="9"/>
  <c r="M578" i="9"/>
  <c r="P578" i="9" s="1"/>
  <c r="P581" i="9"/>
  <c r="P577" i="9"/>
  <c r="Q534" i="9"/>
  <c r="T534" i="9" s="1"/>
  <c r="L495" i="9"/>
  <c r="O495" i="9" s="1"/>
  <c r="O501" i="9"/>
  <c r="U494" i="9"/>
  <c r="J458" i="9"/>
  <c r="K456" i="9"/>
  <c r="N415" i="9"/>
  <c r="N413" i="9" s="1"/>
  <c r="R415" i="9"/>
  <c r="R375" i="9"/>
  <c r="O328" i="9"/>
  <c r="L326" i="9"/>
  <c r="O326" i="9" s="1"/>
  <c r="I302" i="9"/>
  <c r="K302" i="9" s="1"/>
  <c r="K314" i="9"/>
  <c r="P187" i="9"/>
  <c r="P73" i="9"/>
  <c r="M557" i="9"/>
  <c r="P560" i="9"/>
  <c r="M558" i="9"/>
  <c r="P558" i="9" s="1"/>
  <c r="K386" i="9"/>
  <c r="I374" i="9"/>
  <c r="Q601" i="8"/>
  <c r="T601" i="8" s="1"/>
  <c r="M496" i="8"/>
  <c r="P496" i="8" s="1"/>
  <c r="O560" i="9"/>
  <c r="L557" i="9"/>
  <c r="L558" i="9"/>
  <c r="O558" i="9" s="1"/>
  <c r="O144" i="9"/>
  <c r="L142" i="9"/>
  <c r="O142" i="9" s="1"/>
  <c r="L141" i="9"/>
  <c r="M601" i="8"/>
  <c r="M599" i="8" s="1"/>
  <c r="P599" i="8" s="1"/>
  <c r="L540" i="8"/>
  <c r="O540" i="8" s="1"/>
  <c r="T397" i="8"/>
  <c r="L339" i="8"/>
  <c r="O339" i="8" s="1"/>
  <c r="N335" i="8"/>
  <c r="N333" i="8" s="1"/>
  <c r="I319" i="8"/>
  <c r="K319" i="8" s="1"/>
  <c r="L243" i="8"/>
  <c r="O243" i="8" s="1"/>
  <c r="O194" i="8"/>
  <c r="L163" i="8"/>
  <c r="O163" i="8" s="1"/>
  <c r="Q160" i="8"/>
  <c r="T160" i="8" s="1"/>
  <c r="P761" i="9"/>
  <c r="O577" i="9"/>
  <c r="R555" i="9"/>
  <c r="U555" i="9" s="1"/>
  <c r="Q415" i="9"/>
  <c r="T415" i="9" s="1"/>
  <c r="Q375" i="9"/>
  <c r="N358" i="9"/>
  <c r="N356" i="9" s="1"/>
  <c r="N189" i="9"/>
  <c r="O189" i="9" s="1"/>
  <c r="O191" i="9"/>
  <c r="O187" i="9"/>
  <c r="P274" i="9"/>
  <c r="M272" i="9"/>
  <c r="P272" i="9" s="1"/>
  <c r="M268" i="9"/>
  <c r="M62" i="8"/>
  <c r="P64" i="8"/>
  <c r="O394" i="9"/>
  <c r="L392" i="9"/>
  <c r="O392" i="9" s="1"/>
  <c r="P341" i="9"/>
  <c r="M339" i="9"/>
  <c r="P339" i="9" s="1"/>
  <c r="K780" i="8"/>
  <c r="K705" i="8"/>
  <c r="K653" i="8"/>
  <c r="L605" i="8"/>
  <c r="O605" i="8" s="1"/>
  <c r="T380" i="8"/>
  <c r="K314" i="8"/>
  <c r="L234" i="8"/>
  <c r="U162" i="8"/>
  <c r="L145" i="8"/>
  <c r="O145" i="8" s="1"/>
  <c r="S142" i="8"/>
  <c r="T142" i="8" s="1"/>
  <c r="T122" i="8"/>
  <c r="L119" i="8"/>
  <c r="O119" i="8" s="1"/>
  <c r="U99" i="8"/>
  <c r="L96" i="8"/>
  <c r="O96" i="8" s="1"/>
  <c r="O77" i="8"/>
  <c r="N62" i="8"/>
  <c r="S731" i="9"/>
  <c r="U731" i="9" s="1"/>
  <c r="U695" i="9"/>
  <c r="S693" i="9"/>
  <c r="T693" i="9" s="1"/>
  <c r="U647" i="9"/>
  <c r="S645" i="9"/>
  <c r="T645" i="9" s="1"/>
  <c r="K629" i="9"/>
  <c r="N602" i="9"/>
  <c r="N601" i="9"/>
  <c r="N599" i="9" s="1"/>
  <c r="N515" i="9"/>
  <c r="N513" i="9" s="1"/>
  <c r="N516" i="9"/>
  <c r="K458" i="9"/>
  <c r="O418" i="9"/>
  <c r="L415" i="9"/>
  <c r="L416" i="9"/>
  <c r="R416" i="9"/>
  <c r="P361" i="9"/>
  <c r="M359" i="9"/>
  <c r="P359" i="9" s="1"/>
  <c r="M358" i="9"/>
  <c r="L243" i="9"/>
  <c r="L233" i="9"/>
  <c r="O95" i="9"/>
  <c r="P45" i="9"/>
  <c r="K504" i="9"/>
  <c r="J503" i="9"/>
  <c r="J492" i="9" s="1"/>
  <c r="N579" i="9"/>
  <c r="N578" i="9"/>
  <c r="N576" i="9" s="1"/>
  <c r="R513" i="9"/>
  <c r="U513" i="9" s="1"/>
  <c r="Q763" i="4"/>
  <c r="S188" i="5"/>
  <c r="S186" i="5" s="1"/>
  <c r="K109" i="6"/>
  <c r="L46" i="6"/>
  <c r="L44" i="6" s="1"/>
  <c r="L268" i="7"/>
  <c r="L266" i="7" s="1"/>
  <c r="T144" i="7"/>
  <c r="K782" i="8"/>
  <c r="J674" i="8"/>
  <c r="M419" i="8"/>
  <c r="P419" i="8" s="1"/>
  <c r="O287" i="8"/>
  <c r="T271" i="8"/>
  <c r="U194" i="8"/>
  <c r="T147" i="8"/>
  <c r="R119" i="8"/>
  <c r="R117" i="8" s="1"/>
  <c r="T695" i="9"/>
  <c r="T647" i="9"/>
  <c r="P600" i="9"/>
  <c r="Q576" i="9"/>
  <c r="T576" i="9" s="1"/>
  <c r="N557" i="9"/>
  <c r="N555" i="9" s="1"/>
  <c r="L540" i="9"/>
  <c r="O540" i="9" s="1"/>
  <c r="L536" i="9"/>
  <c r="O536" i="9" s="1"/>
  <c r="P494" i="9"/>
  <c r="K457" i="9"/>
  <c r="O361" i="9"/>
  <c r="O357" i="9"/>
  <c r="P194" i="9"/>
  <c r="M192" i="9"/>
  <c r="P192" i="9" s="1"/>
  <c r="N23" i="9"/>
  <c r="U535" i="9"/>
  <c r="S513" i="9"/>
  <c r="K440" i="9"/>
  <c r="P418" i="9"/>
  <c r="N416" i="9"/>
  <c r="S395" i="9"/>
  <c r="K371" i="9"/>
  <c r="R356" i="9"/>
  <c r="U356" i="9" s="1"/>
  <c r="U357" i="9"/>
  <c r="O283" i="9"/>
  <c r="L203" i="9"/>
  <c r="O203" i="9" s="1"/>
  <c r="N179" i="9"/>
  <c r="N175" i="9"/>
  <c r="N173" i="9" s="1"/>
  <c r="M175" i="9"/>
  <c r="P178" i="9"/>
  <c r="M176" i="9"/>
  <c r="P176" i="9" s="1"/>
  <c r="P99" i="9"/>
  <c r="M97" i="9"/>
  <c r="S19" i="9"/>
  <c r="Q616" i="9"/>
  <c r="Q555" i="9"/>
  <c r="T555" i="9" s="1"/>
  <c r="L419" i="9"/>
  <c r="O419" i="9" s="1"/>
  <c r="N377" i="9"/>
  <c r="N375" i="9" s="1"/>
  <c r="P376" i="9"/>
  <c r="Q356" i="9"/>
  <c r="T356" i="9" s="1"/>
  <c r="T357" i="9"/>
  <c r="P334" i="9"/>
  <c r="S282" i="9"/>
  <c r="I231" i="9"/>
  <c r="K231" i="9" s="1"/>
  <c r="K242" i="9"/>
  <c r="T125" i="9"/>
  <c r="Q123" i="9"/>
  <c r="T123" i="9" s="1"/>
  <c r="U122" i="9"/>
  <c r="R120" i="9"/>
  <c r="R119" i="9"/>
  <c r="U22" i="9"/>
  <c r="R19" i="9"/>
  <c r="M537" i="9"/>
  <c r="P537" i="9" s="1"/>
  <c r="I412" i="9"/>
  <c r="K412" i="9" s="1"/>
  <c r="K423" i="9"/>
  <c r="P338" i="9"/>
  <c r="N335" i="9"/>
  <c r="N333" i="9" s="1"/>
  <c r="N336" i="9"/>
  <c r="P336" i="9" s="1"/>
  <c r="P304" i="9"/>
  <c r="N268" i="9"/>
  <c r="N266" i="9" s="1"/>
  <c r="K230" i="9"/>
  <c r="L358" i="9"/>
  <c r="T305" i="9"/>
  <c r="R282" i="9"/>
  <c r="U282" i="9" s="1"/>
  <c r="U283" i="9"/>
  <c r="O274" i="9"/>
  <c r="L272" i="9"/>
  <c r="O272" i="9" s="1"/>
  <c r="P271" i="9"/>
  <c r="M269" i="9"/>
  <c r="P269" i="9" s="1"/>
  <c r="O267" i="9"/>
  <c r="L254" i="9"/>
  <c r="O254" i="9" s="1"/>
  <c r="P191" i="9"/>
  <c r="M189" i="9"/>
  <c r="P181" i="9"/>
  <c r="M179" i="9"/>
  <c r="P179" i="9" s="1"/>
  <c r="L176" i="9"/>
  <c r="O176" i="9" s="1"/>
  <c r="O178" i="9"/>
  <c r="N160" i="9"/>
  <c r="N159" i="9"/>
  <c r="N157" i="9" s="1"/>
  <c r="T140" i="9"/>
  <c r="T122" i="9"/>
  <c r="Q120" i="9"/>
  <c r="Q119" i="9"/>
  <c r="P102" i="9"/>
  <c r="M100" i="9"/>
  <c r="P100" i="9" s="1"/>
  <c r="Q26" i="9"/>
  <c r="T19" i="9"/>
  <c r="R333" i="9"/>
  <c r="U333" i="9" s="1"/>
  <c r="T271" i="9"/>
  <c r="O271" i="9"/>
  <c r="L269" i="9"/>
  <c r="O269" i="9" s="1"/>
  <c r="S268" i="9"/>
  <c r="S266" i="9" s="1"/>
  <c r="R266" i="9"/>
  <c r="U267" i="9"/>
  <c r="U187" i="9"/>
  <c r="S176" i="9"/>
  <c r="L163" i="9"/>
  <c r="O163" i="9" s="1"/>
  <c r="L159" i="9"/>
  <c r="O159" i="9" s="1"/>
  <c r="O165" i="9"/>
  <c r="O158" i="9"/>
  <c r="U99" i="9"/>
  <c r="S97" i="9"/>
  <c r="T97" i="9" s="1"/>
  <c r="K93" i="9"/>
  <c r="P52" i="9"/>
  <c r="M26" i="9"/>
  <c r="M24" i="9" s="1"/>
  <c r="M50" i="9"/>
  <c r="P50" i="9" s="1"/>
  <c r="L46" i="9"/>
  <c r="U25" i="9"/>
  <c r="L359" i="9"/>
  <c r="O359" i="9" s="1"/>
  <c r="Q306" i="9"/>
  <c r="Q303" i="9"/>
  <c r="P287" i="9"/>
  <c r="M285" i="9"/>
  <c r="P285" i="9" s="1"/>
  <c r="Q266" i="9"/>
  <c r="T267" i="9"/>
  <c r="S188" i="9"/>
  <c r="R176" i="9"/>
  <c r="U176" i="9" s="1"/>
  <c r="U178" i="9"/>
  <c r="R175" i="9"/>
  <c r="U175" i="9" s="1"/>
  <c r="L175" i="9"/>
  <c r="L173" i="9" s="1"/>
  <c r="O52" i="9"/>
  <c r="L26" i="9"/>
  <c r="O26" i="9" s="1"/>
  <c r="L50" i="9"/>
  <c r="O50" i="9" s="1"/>
  <c r="O341" i="9"/>
  <c r="L335" i="9"/>
  <c r="M323" i="9"/>
  <c r="P323" i="9" s="1"/>
  <c r="L284" i="9"/>
  <c r="P283" i="9"/>
  <c r="U271" i="9"/>
  <c r="R269" i="9"/>
  <c r="U269" i="9" s="1"/>
  <c r="U147" i="9"/>
  <c r="R145" i="9"/>
  <c r="U145" i="9" s="1"/>
  <c r="P144" i="9"/>
  <c r="M142" i="9"/>
  <c r="P142" i="9" s="1"/>
  <c r="M141" i="9"/>
  <c r="P141" i="9" s="1"/>
  <c r="O19" i="9"/>
  <c r="P19" i="9"/>
  <c r="M335" i="9"/>
  <c r="L322" i="9"/>
  <c r="O322" i="9" s="1"/>
  <c r="N305" i="9"/>
  <c r="N303" i="9" s="1"/>
  <c r="Q159" i="9"/>
  <c r="P147" i="9"/>
  <c r="M145" i="9"/>
  <c r="P145" i="9" s="1"/>
  <c r="O125" i="9"/>
  <c r="L123" i="9"/>
  <c r="O123" i="9" s="1"/>
  <c r="U96" i="9"/>
  <c r="I82" i="9"/>
  <c r="N26" i="9"/>
  <c r="N24" i="9" s="1"/>
  <c r="P25" i="9"/>
  <c r="O147" i="9"/>
  <c r="L145" i="9"/>
  <c r="O145" i="9" s="1"/>
  <c r="U144" i="9"/>
  <c r="R142" i="9"/>
  <c r="U142" i="9" s="1"/>
  <c r="R94" i="9"/>
  <c r="U94" i="9" s="1"/>
  <c r="U95" i="9"/>
  <c r="I83" i="9"/>
  <c r="P67" i="9"/>
  <c r="M65" i="9"/>
  <c r="P65" i="9" s="1"/>
  <c r="P60" i="9"/>
  <c r="O25" i="9"/>
  <c r="P22" i="9"/>
  <c r="U125" i="9"/>
  <c r="R123" i="9"/>
  <c r="U123" i="9" s="1"/>
  <c r="O122" i="9"/>
  <c r="L120" i="9"/>
  <c r="O120" i="9" s="1"/>
  <c r="O99" i="9"/>
  <c r="N97" i="9"/>
  <c r="T95" i="9"/>
  <c r="O67" i="9"/>
  <c r="L65" i="9"/>
  <c r="O65" i="9" s="1"/>
  <c r="L61" i="9"/>
  <c r="O22" i="9"/>
  <c r="P162" i="9"/>
  <c r="P122" i="9"/>
  <c r="T80" i="9"/>
  <c r="T77" i="9"/>
  <c r="S26" i="9"/>
  <c r="S24" i="9" s="1"/>
  <c r="S23" i="9"/>
  <c r="M23" i="9"/>
  <c r="Q96" i="9"/>
  <c r="T96" i="9" s="1"/>
  <c r="K85" i="9"/>
  <c r="S74" i="9"/>
  <c r="S72" i="9" s="1"/>
  <c r="M74" i="9"/>
  <c r="P74" i="9" s="1"/>
  <c r="M61" i="9"/>
  <c r="M46" i="9"/>
  <c r="R23" i="9"/>
  <c r="R21" i="9" s="1"/>
  <c r="L23" i="9"/>
  <c r="L21" i="9" s="1"/>
  <c r="Q23" i="9"/>
  <c r="M728" i="8"/>
  <c r="P728" i="8" s="1"/>
  <c r="P729" i="8"/>
  <c r="M74" i="8"/>
  <c r="M72" i="8" s="1"/>
  <c r="M75" i="8"/>
  <c r="P75" i="8" s="1"/>
  <c r="P77" i="8"/>
  <c r="O539" i="8"/>
  <c r="L536" i="8"/>
  <c r="O536" i="8" s="1"/>
  <c r="L537" i="8"/>
  <c r="O537" i="8" s="1"/>
  <c r="S74" i="8"/>
  <c r="S72" i="8" s="1"/>
  <c r="U77" i="8"/>
  <c r="O539" i="5"/>
  <c r="O579" i="6"/>
  <c r="P62" i="6"/>
  <c r="K785" i="7"/>
  <c r="K779" i="7"/>
  <c r="R731" i="7"/>
  <c r="L601" i="7"/>
  <c r="L599" i="7" s="1"/>
  <c r="Q395" i="7"/>
  <c r="T395" i="7" s="1"/>
  <c r="P501" i="8"/>
  <c r="M499" i="8"/>
  <c r="P499" i="8" s="1"/>
  <c r="O383" i="8"/>
  <c r="L381" i="8"/>
  <c r="O381" i="8" s="1"/>
  <c r="R59" i="8"/>
  <c r="U59" i="8" s="1"/>
  <c r="R576" i="8"/>
  <c r="U576" i="8" s="1"/>
  <c r="U577" i="8"/>
  <c r="O64" i="6"/>
  <c r="L601" i="8"/>
  <c r="O601" i="8" s="1"/>
  <c r="L602" i="8"/>
  <c r="O602" i="8" s="1"/>
  <c r="L558" i="8"/>
  <c r="O558" i="8" s="1"/>
  <c r="O560" i="8"/>
  <c r="R534" i="8"/>
  <c r="U534" i="8" s="1"/>
  <c r="U535" i="8"/>
  <c r="K440" i="8"/>
  <c r="J423" i="8"/>
  <c r="J412" i="8" s="1"/>
  <c r="S394" i="8"/>
  <c r="S392" i="8" s="1"/>
  <c r="S395" i="8"/>
  <c r="L336" i="8"/>
  <c r="O336" i="8" s="1"/>
  <c r="O338" i="8"/>
  <c r="Q243" i="8"/>
  <c r="Q232" i="8" s="1"/>
  <c r="Q235" i="8"/>
  <c r="O191" i="8"/>
  <c r="K109" i="8"/>
  <c r="I93" i="8"/>
  <c r="K93" i="8" s="1"/>
  <c r="P341" i="8"/>
  <c r="M339" i="8"/>
  <c r="P339" i="8" s="1"/>
  <c r="Q305" i="8"/>
  <c r="Q303" i="8" s="1"/>
  <c r="Q306" i="8"/>
  <c r="T306" i="8" s="1"/>
  <c r="T308" i="8"/>
  <c r="P581" i="5"/>
  <c r="S693" i="8"/>
  <c r="U693" i="8" s="1"/>
  <c r="S692" i="8"/>
  <c r="T692" i="8" s="1"/>
  <c r="O563" i="8"/>
  <c r="L561" i="8"/>
  <c r="O561" i="8" s="1"/>
  <c r="U397" i="6"/>
  <c r="J503" i="7"/>
  <c r="J492" i="7" s="1"/>
  <c r="R730" i="8"/>
  <c r="R731" i="8"/>
  <c r="U731" i="8" s="1"/>
  <c r="S601" i="8"/>
  <c r="S599" i="8" s="1"/>
  <c r="S602" i="8"/>
  <c r="M362" i="8"/>
  <c r="P362" i="8" s="1"/>
  <c r="I253" i="8"/>
  <c r="K253" i="8" s="1"/>
  <c r="K260" i="8"/>
  <c r="K198" i="8"/>
  <c r="I195" i="8"/>
  <c r="K195" i="8" s="1"/>
  <c r="Q123" i="8"/>
  <c r="T123" i="8" s="1"/>
  <c r="T125" i="8"/>
  <c r="R78" i="8"/>
  <c r="U78" i="8" s="1"/>
  <c r="L61" i="8"/>
  <c r="L59" i="8" s="1"/>
  <c r="L62" i="8"/>
  <c r="O64" i="8"/>
  <c r="Q44" i="8"/>
  <c r="T44" i="8" s="1"/>
  <c r="P602" i="7"/>
  <c r="U418" i="7"/>
  <c r="O194" i="7"/>
  <c r="L192" i="7"/>
  <c r="O192" i="7" s="1"/>
  <c r="S762" i="8"/>
  <c r="S760" i="8" s="1"/>
  <c r="S763" i="8"/>
  <c r="U763" i="8" s="1"/>
  <c r="L326" i="8"/>
  <c r="O326" i="8" s="1"/>
  <c r="O328" i="8"/>
  <c r="N189" i="8"/>
  <c r="O189" i="8" s="1"/>
  <c r="P191" i="8"/>
  <c r="P49" i="6"/>
  <c r="L189" i="7"/>
  <c r="O191" i="7"/>
  <c r="N578" i="8"/>
  <c r="N576" i="8" s="1"/>
  <c r="P581" i="8"/>
  <c r="N579" i="8"/>
  <c r="P579" i="8" s="1"/>
  <c r="N377" i="8"/>
  <c r="N375" i="8" s="1"/>
  <c r="N378" i="8"/>
  <c r="N323" i="8"/>
  <c r="R141" i="8"/>
  <c r="R139" i="8" s="1"/>
  <c r="R142" i="8"/>
  <c r="U144" i="8"/>
  <c r="L78" i="8"/>
  <c r="O78" i="8" s="1"/>
  <c r="O80" i="8"/>
  <c r="R44" i="8"/>
  <c r="U44" i="8" s="1"/>
  <c r="K292" i="7"/>
  <c r="P271" i="7"/>
  <c r="T147" i="7"/>
  <c r="M760" i="8"/>
  <c r="P760" i="8" s="1"/>
  <c r="T645" i="8"/>
  <c r="R605" i="8"/>
  <c r="U605" i="8" s="1"/>
  <c r="P604" i="8"/>
  <c r="Q576" i="8"/>
  <c r="T576" i="8" s="1"/>
  <c r="L233" i="8"/>
  <c r="K137" i="8"/>
  <c r="S145" i="8"/>
  <c r="T145" i="8" s="1"/>
  <c r="K727" i="8"/>
  <c r="S714" i="8"/>
  <c r="U715" i="8"/>
  <c r="O715" i="8"/>
  <c r="Q693" i="8"/>
  <c r="K654" i="8"/>
  <c r="R645" i="8"/>
  <c r="U645" i="8" s="1"/>
  <c r="S644" i="8"/>
  <c r="S642" i="8" s="1"/>
  <c r="S619" i="8"/>
  <c r="U619" i="8" s="1"/>
  <c r="N557" i="8"/>
  <c r="N555" i="8" s="1"/>
  <c r="P542" i="8"/>
  <c r="P518" i="8"/>
  <c r="N495" i="8"/>
  <c r="N493" i="8" s="1"/>
  <c r="J457" i="8"/>
  <c r="N415" i="8"/>
  <c r="N413" i="8" s="1"/>
  <c r="I374" i="8"/>
  <c r="P380" i="8"/>
  <c r="K368" i="8"/>
  <c r="J351" i="8"/>
  <c r="L306" i="8"/>
  <c r="K241" i="8"/>
  <c r="L214" i="8"/>
  <c r="O214" i="8" s="1"/>
  <c r="R145" i="8"/>
  <c r="M141" i="8"/>
  <c r="M139" i="8" s="1"/>
  <c r="J374" i="7"/>
  <c r="P269" i="7"/>
  <c r="N268" i="7"/>
  <c r="N266" i="7" s="1"/>
  <c r="O49" i="7"/>
  <c r="Q762" i="8"/>
  <c r="U733" i="8"/>
  <c r="N714" i="8"/>
  <c r="U695" i="8"/>
  <c r="M536" i="8"/>
  <c r="M534" i="8" s="1"/>
  <c r="P534" i="8" s="1"/>
  <c r="M516" i="8"/>
  <c r="P516" i="8" s="1"/>
  <c r="K485" i="8"/>
  <c r="Q377" i="8"/>
  <c r="T377" i="8" s="1"/>
  <c r="L358" i="8"/>
  <c r="L222" i="8"/>
  <c r="O222" i="8" s="1"/>
  <c r="L203" i="8"/>
  <c r="O203" i="8" s="1"/>
  <c r="P194" i="8"/>
  <c r="U191" i="8"/>
  <c r="T162" i="8"/>
  <c r="L159" i="8"/>
  <c r="L157" i="8" s="1"/>
  <c r="R160" i="8"/>
  <c r="U160" i="8" s="1"/>
  <c r="S141" i="8"/>
  <c r="S139" i="8" s="1"/>
  <c r="L141" i="8"/>
  <c r="L139" i="8" s="1"/>
  <c r="Q119" i="8"/>
  <c r="Q117" i="8" s="1"/>
  <c r="L120" i="8"/>
  <c r="O120" i="8" s="1"/>
  <c r="O99" i="8"/>
  <c r="L97" i="8"/>
  <c r="O97" i="8" s="1"/>
  <c r="N74" i="8"/>
  <c r="N72" i="8" s="1"/>
  <c r="O75" i="8"/>
  <c r="S59" i="8"/>
  <c r="L46" i="8"/>
  <c r="L44" i="8" s="1"/>
  <c r="Q19" i="8"/>
  <c r="T19" i="8" s="1"/>
  <c r="N335" i="7"/>
  <c r="N333" i="7" s="1"/>
  <c r="L236" i="7"/>
  <c r="S176" i="7"/>
  <c r="M163" i="7"/>
  <c r="P163" i="7" s="1"/>
  <c r="R601" i="8"/>
  <c r="U601" i="8" s="1"/>
  <c r="M602" i="8"/>
  <c r="P602" i="8" s="1"/>
  <c r="P584" i="8"/>
  <c r="S493" i="8"/>
  <c r="M495" i="8"/>
  <c r="P495" i="8" s="1"/>
  <c r="S413" i="8"/>
  <c r="Q394" i="8"/>
  <c r="T394" i="8" s="1"/>
  <c r="M377" i="8"/>
  <c r="S378" i="8"/>
  <c r="K369" i="8"/>
  <c r="I365" i="8"/>
  <c r="K365" i="8" s="1"/>
  <c r="J332" i="8"/>
  <c r="K332" i="8" s="1"/>
  <c r="P311" i="8"/>
  <c r="P290" i="8"/>
  <c r="N268" i="8"/>
  <c r="N266" i="8" s="1"/>
  <c r="L235" i="8"/>
  <c r="P165" i="8"/>
  <c r="L160" i="8"/>
  <c r="Q141" i="8"/>
  <c r="Q139" i="8" s="1"/>
  <c r="M142" i="8"/>
  <c r="O125" i="8"/>
  <c r="T99" i="8"/>
  <c r="S96" i="8"/>
  <c r="S94" i="8" s="1"/>
  <c r="R74" i="8"/>
  <c r="R72" i="8" s="1"/>
  <c r="L74" i="8"/>
  <c r="R75" i="8"/>
  <c r="U75" i="8" s="1"/>
  <c r="O67" i="8"/>
  <c r="P49" i="8"/>
  <c r="N47" i="8"/>
  <c r="O47" i="8" s="1"/>
  <c r="U147" i="7"/>
  <c r="M714" i="8"/>
  <c r="P714" i="8" s="1"/>
  <c r="J675" i="8"/>
  <c r="O584" i="8"/>
  <c r="L578" i="8"/>
  <c r="L576" i="8" s="1"/>
  <c r="P560" i="8"/>
  <c r="Q555" i="8"/>
  <c r="T555" i="8" s="1"/>
  <c r="O521" i="8"/>
  <c r="L515" i="8"/>
  <c r="L513" i="8" s="1"/>
  <c r="O513" i="8" s="1"/>
  <c r="K484" i="8"/>
  <c r="Q378" i="8"/>
  <c r="S320" i="8"/>
  <c r="K240" i="8"/>
  <c r="N232" i="8"/>
  <c r="K229" i="8"/>
  <c r="R188" i="8"/>
  <c r="R186" i="8" s="1"/>
  <c r="L188" i="8"/>
  <c r="L186" i="8" s="1"/>
  <c r="Q189" i="8"/>
  <c r="T189" i="8" s="1"/>
  <c r="K152" i="8"/>
  <c r="R97" i="8"/>
  <c r="U97" i="8" s="1"/>
  <c r="Q75" i="8"/>
  <c r="T75" i="8" s="1"/>
  <c r="O49" i="8"/>
  <c r="R601" i="7"/>
  <c r="U601" i="7" s="1"/>
  <c r="S159" i="7"/>
  <c r="S157" i="7" s="1"/>
  <c r="S160" i="7"/>
  <c r="M120" i="7"/>
  <c r="P120" i="7" s="1"/>
  <c r="M690" i="8"/>
  <c r="P690" i="8" s="1"/>
  <c r="R642" i="8"/>
  <c r="T643" i="8"/>
  <c r="P418" i="8"/>
  <c r="T393" i="8"/>
  <c r="P338" i="8"/>
  <c r="M336" i="8"/>
  <c r="P336" i="8" s="1"/>
  <c r="M335" i="8"/>
  <c r="Q94" i="8"/>
  <c r="T94" i="8" s="1"/>
  <c r="T95" i="8"/>
  <c r="R141" i="4"/>
  <c r="R139" i="4" s="1"/>
  <c r="P418" i="6"/>
  <c r="P579" i="7"/>
  <c r="P563" i="7"/>
  <c r="N536" i="7"/>
  <c r="N534" i="7" s="1"/>
  <c r="L519" i="7"/>
  <c r="O519" i="7" s="1"/>
  <c r="U498" i="7"/>
  <c r="K457" i="7"/>
  <c r="M419" i="7"/>
  <c r="P419" i="7" s="1"/>
  <c r="P421" i="7"/>
  <c r="Q394" i="7"/>
  <c r="T394" i="7" s="1"/>
  <c r="T380" i="7"/>
  <c r="I265" i="7"/>
  <c r="K265" i="7" s="1"/>
  <c r="K276" i="7"/>
  <c r="U99" i="7"/>
  <c r="R762" i="8"/>
  <c r="T733" i="8"/>
  <c r="L728" i="8"/>
  <c r="O728" i="8" s="1"/>
  <c r="P716" i="8"/>
  <c r="K707" i="8"/>
  <c r="I701" i="8"/>
  <c r="K626" i="8"/>
  <c r="K630" i="8"/>
  <c r="K631" i="8"/>
  <c r="K632" i="8"/>
  <c r="Q619" i="8"/>
  <c r="Q618" i="8"/>
  <c r="T618" i="8" s="1"/>
  <c r="T621" i="8"/>
  <c r="P618" i="8"/>
  <c r="M616" i="8"/>
  <c r="P616" i="8" s="1"/>
  <c r="I615" i="8"/>
  <c r="K615" i="8" s="1"/>
  <c r="T604" i="8"/>
  <c r="Q602" i="8"/>
  <c r="T602" i="8" s="1"/>
  <c r="N416" i="8"/>
  <c r="M392" i="8"/>
  <c r="P392" i="8" s="1"/>
  <c r="P174" i="8"/>
  <c r="I195" i="7"/>
  <c r="K195" i="7" s="1"/>
  <c r="K198" i="7"/>
  <c r="K368" i="7"/>
  <c r="J351" i="7"/>
  <c r="O178" i="5"/>
  <c r="R645" i="6"/>
  <c r="O418" i="6"/>
  <c r="R645" i="7"/>
  <c r="U645" i="7" s="1"/>
  <c r="O604" i="7"/>
  <c r="L582" i="7"/>
  <c r="O582" i="7" s="1"/>
  <c r="O581" i="7"/>
  <c r="L495" i="7"/>
  <c r="O495" i="7" s="1"/>
  <c r="L358" i="7"/>
  <c r="L356" i="7" s="1"/>
  <c r="I758" i="8"/>
  <c r="K758" i="8" s="1"/>
  <c r="K772" i="8"/>
  <c r="S730" i="8"/>
  <c r="S728" i="8" s="1"/>
  <c r="R692" i="8"/>
  <c r="P644" i="8"/>
  <c r="M642" i="8"/>
  <c r="P642" i="8" s="1"/>
  <c r="L616" i="8"/>
  <c r="O616" i="8" s="1"/>
  <c r="O617" i="8"/>
  <c r="P563" i="8"/>
  <c r="M561" i="8"/>
  <c r="P561" i="8" s="1"/>
  <c r="P514" i="8"/>
  <c r="K506" i="8"/>
  <c r="J503" i="8"/>
  <c r="J492" i="8" s="1"/>
  <c r="K458" i="8"/>
  <c r="O421" i="8"/>
  <c r="L419" i="8"/>
  <c r="O419" i="8" s="1"/>
  <c r="M416" i="8"/>
  <c r="T414" i="8"/>
  <c r="R375" i="8"/>
  <c r="U377" i="8"/>
  <c r="L377" i="8"/>
  <c r="M359" i="8"/>
  <c r="P361" i="8"/>
  <c r="M358" i="8"/>
  <c r="M309" i="7"/>
  <c r="P309" i="7" s="1"/>
  <c r="P311" i="7"/>
  <c r="T617" i="8"/>
  <c r="O498" i="8"/>
  <c r="L496" i="8"/>
  <c r="O496" i="8" s="1"/>
  <c r="R394" i="6"/>
  <c r="U394" i="6" s="1"/>
  <c r="J701" i="7"/>
  <c r="T607" i="7"/>
  <c r="U604" i="7"/>
  <c r="K386" i="7"/>
  <c r="M326" i="7"/>
  <c r="P326" i="7" s="1"/>
  <c r="P328" i="7"/>
  <c r="S305" i="7"/>
  <c r="S303" i="7" s="1"/>
  <c r="T308" i="7"/>
  <c r="U194" i="7"/>
  <c r="P181" i="7"/>
  <c r="M179" i="7"/>
  <c r="P179" i="7" s="1"/>
  <c r="M145" i="7"/>
  <c r="P145" i="7" s="1"/>
  <c r="P147" i="7"/>
  <c r="U765" i="8"/>
  <c r="L760" i="8"/>
  <c r="O760" i="8" s="1"/>
  <c r="U729" i="8"/>
  <c r="Q714" i="8"/>
  <c r="T714" i="8" s="1"/>
  <c r="J701" i="8"/>
  <c r="K703" i="8"/>
  <c r="O692" i="8"/>
  <c r="O644" i="8"/>
  <c r="L642" i="8"/>
  <c r="O642" i="8" s="1"/>
  <c r="M557" i="8"/>
  <c r="M555" i="8" s="1"/>
  <c r="P556" i="8"/>
  <c r="L495" i="8"/>
  <c r="O495" i="8" s="1"/>
  <c r="K423" i="8"/>
  <c r="I412" i="8"/>
  <c r="U271" i="8"/>
  <c r="R269" i="8"/>
  <c r="U269" i="8" s="1"/>
  <c r="R268" i="8"/>
  <c r="R513" i="8"/>
  <c r="U513" i="8" s="1"/>
  <c r="U515" i="8"/>
  <c r="Q693" i="5"/>
  <c r="N336" i="7"/>
  <c r="O336" i="7" s="1"/>
  <c r="O338" i="7"/>
  <c r="I253" i="7"/>
  <c r="K253" i="7" s="1"/>
  <c r="K260" i="7"/>
  <c r="K784" i="4"/>
  <c r="K781" i="4"/>
  <c r="K778" i="4"/>
  <c r="K784" i="5"/>
  <c r="K709" i="6"/>
  <c r="S119" i="6"/>
  <c r="S117" i="6" s="1"/>
  <c r="K784" i="7"/>
  <c r="K781" i="7"/>
  <c r="K778" i="7"/>
  <c r="U765" i="7"/>
  <c r="I701" i="7"/>
  <c r="U647" i="7"/>
  <c r="Q618" i="7"/>
  <c r="Q616" i="7" s="1"/>
  <c r="N557" i="7"/>
  <c r="N555" i="7" s="1"/>
  <c r="Q495" i="7"/>
  <c r="T495" i="7" s="1"/>
  <c r="T498" i="7"/>
  <c r="U397" i="7"/>
  <c r="K369" i="7"/>
  <c r="O122" i="7"/>
  <c r="K109" i="7"/>
  <c r="I93" i="7"/>
  <c r="K93" i="7" s="1"/>
  <c r="L47" i="7"/>
  <c r="O47" i="7" s="1"/>
  <c r="T765" i="8"/>
  <c r="T731" i="8"/>
  <c r="Q730" i="8"/>
  <c r="T729" i="8"/>
  <c r="N728" i="8"/>
  <c r="P691" i="8"/>
  <c r="Q690" i="8"/>
  <c r="U617" i="8"/>
  <c r="T607" i="8"/>
  <c r="Q605" i="8"/>
  <c r="T605" i="8" s="1"/>
  <c r="Q513" i="8"/>
  <c r="T513" i="8" s="1"/>
  <c r="I492" i="8"/>
  <c r="K492" i="8" s="1"/>
  <c r="M415" i="8"/>
  <c r="L362" i="8"/>
  <c r="O362" i="8" s="1"/>
  <c r="Q356" i="8"/>
  <c r="T356" i="8" s="1"/>
  <c r="T357" i="8"/>
  <c r="J343" i="8"/>
  <c r="O325" i="8"/>
  <c r="L323" i="8"/>
  <c r="O323" i="8" s="1"/>
  <c r="L322" i="8"/>
  <c r="O322" i="8" s="1"/>
  <c r="K276" i="8"/>
  <c r="I265" i="8"/>
  <c r="K265" i="8" s="1"/>
  <c r="O542" i="7"/>
  <c r="U268" i="7"/>
  <c r="M159" i="7"/>
  <c r="M157" i="7" s="1"/>
  <c r="T695" i="8"/>
  <c r="T647" i="8"/>
  <c r="Q644" i="8"/>
  <c r="U621" i="8"/>
  <c r="R618" i="8"/>
  <c r="U618" i="8" s="1"/>
  <c r="U604" i="8"/>
  <c r="O604" i="8"/>
  <c r="O581" i="8"/>
  <c r="S555" i="8"/>
  <c r="N536" i="8"/>
  <c r="N534" i="8" s="1"/>
  <c r="P521" i="8"/>
  <c r="M519" i="8"/>
  <c r="P519" i="8" s="1"/>
  <c r="N515" i="8"/>
  <c r="N513" i="8" s="1"/>
  <c r="S496" i="8"/>
  <c r="K425" i="8"/>
  <c r="T418" i="8"/>
  <c r="O418" i="8"/>
  <c r="L416" i="8"/>
  <c r="L415" i="8"/>
  <c r="O393" i="8"/>
  <c r="K386" i="8"/>
  <c r="L378" i="8"/>
  <c r="O378" i="8" s="1"/>
  <c r="I280" i="8"/>
  <c r="K280" i="8" s="1"/>
  <c r="K293" i="8"/>
  <c r="M175" i="8"/>
  <c r="P178" i="8"/>
  <c r="M176" i="8"/>
  <c r="N601" i="8"/>
  <c r="N599" i="8" s="1"/>
  <c r="R555" i="8"/>
  <c r="U555" i="8" s="1"/>
  <c r="U498" i="8"/>
  <c r="R496" i="8"/>
  <c r="U496" i="8" s="1"/>
  <c r="R495" i="8"/>
  <c r="U495" i="8" s="1"/>
  <c r="S416" i="8"/>
  <c r="T416" i="8" s="1"/>
  <c r="P334" i="8"/>
  <c r="N306" i="8"/>
  <c r="O308" i="8"/>
  <c r="P308" i="8"/>
  <c r="N305" i="8"/>
  <c r="O283" i="8"/>
  <c r="N145" i="8"/>
  <c r="N141" i="8"/>
  <c r="N139" i="8" s="1"/>
  <c r="P25" i="8"/>
  <c r="M578" i="8"/>
  <c r="L579" i="8"/>
  <c r="L557" i="8"/>
  <c r="M537" i="8"/>
  <c r="P537" i="8" s="1"/>
  <c r="Q534" i="8"/>
  <c r="T534" i="8" s="1"/>
  <c r="Q495" i="8"/>
  <c r="T495" i="8" s="1"/>
  <c r="K441" i="8"/>
  <c r="U418" i="8"/>
  <c r="R416" i="8"/>
  <c r="U416" i="8" s="1"/>
  <c r="R415" i="8"/>
  <c r="U415" i="8" s="1"/>
  <c r="R378" i="8"/>
  <c r="S356" i="8"/>
  <c r="O334" i="8"/>
  <c r="R282" i="8"/>
  <c r="U282" i="8" s="1"/>
  <c r="U283" i="8"/>
  <c r="M160" i="8"/>
  <c r="P162" i="8"/>
  <c r="M159" i="8"/>
  <c r="M157" i="8" s="1"/>
  <c r="R157" i="8"/>
  <c r="U157" i="8" s="1"/>
  <c r="U158" i="8"/>
  <c r="U144" i="7"/>
  <c r="T122" i="7"/>
  <c r="U77" i="7"/>
  <c r="O501" i="8"/>
  <c r="L499" i="8"/>
  <c r="O499" i="8" s="1"/>
  <c r="N496" i="8"/>
  <c r="T494" i="8"/>
  <c r="Q415" i="8"/>
  <c r="T415" i="8" s="1"/>
  <c r="O361" i="8"/>
  <c r="N359" i="8"/>
  <c r="O359" i="8" s="1"/>
  <c r="R356" i="8"/>
  <c r="U356" i="8" s="1"/>
  <c r="P325" i="8"/>
  <c r="M323" i="8"/>
  <c r="M322" i="8"/>
  <c r="U304" i="8"/>
  <c r="R303" i="8"/>
  <c r="Q157" i="8"/>
  <c r="T157" i="8" s="1"/>
  <c r="T158" i="8"/>
  <c r="P357" i="8"/>
  <c r="S333" i="8"/>
  <c r="Q282" i="8"/>
  <c r="T282" i="8" s="1"/>
  <c r="T283" i="8"/>
  <c r="T267" i="8"/>
  <c r="P181" i="8"/>
  <c r="M179" i="8"/>
  <c r="P179" i="8" s="1"/>
  <c r="O178" i="8"/>
  <c r="L176" i="8"/>
  <c r="O118" i="8"/>
  <c r="R333" i="8"/>
  <c r="U333" i="8" s="1"/>
  <c r="U334" i="8"/>
  <c r="Q333" i="8"/>
  <c r="T333" i="8" s="1"/>
  <c r="O321" i="8"/>
  <c r="P304" i="8"/>
  <c r="P271" i="8"/>
  <c r="M269" i="8"/>
  <c r="P269" i="8" s="1"/>
  <c r="M268" i="8"/>
  <c r="L254" i="8"/>
  <c r="O254" i="8" s="1"/>
  <c r="I242" i="8"/>
  <c r="I238" i="8"/>
  <c r="K238" i="8" s="1"/>
  <c r="K220" i="8"/>
  <c r="P187" i="8"/>
  <c r="O181" i="8"/>
  <c r="L179" i="8"/>
  <c r="O179" i="8" s="1"/>
  <c r="P140" i="8"/>
  <c r="R320" i="8"/>
  <c r="U320" i="8" s="1"/>
  <c r="U321" i="8"/>
  <c r="N284" i="8"/>
  <c r="N282" i="8" s="1"/>
  <c r="P274" i="8"/>
  <c r="M272" i="8"/>
  <c r="P272" i="8" s="1"/>
  <c r="O271" i="8"/>
  <c r="L269" i="8"/>
  <c r="O269" i="8" s="1"/>
  <c r="L268" i="8"/>
  <c r="U189" i="8"/>
  <c r="K183" i="8"/>
  <c r="I172" i="8"/>
  <c r="K172" i="8" s="1"/>
  <c r="U178" i="8"/>
  <c r="R176" i="8"/>
  <c r="U176" i="8" s="1"/>
  <c r="O140" i="8"/>
  <c r="P99" i="8"/>
  <c r="M97" i="8"/>
  <c r="P97" i="8" s="1"/>
  <c r="M96" i="8"/>
  <c r="P96" i="8" s="1"/>
  <c r="R26" i="8"/>
  <c r="R24" i="8" s="1"/>
  <c r="S19" i="8"/>
  <c r="Q320" i="8"/>
  <c r="T320" i="8" s="1"/>
  <c r="T321" i="8"/>
  <c r="P287" i="8"/>
  <c r="M285" i="8"/>
  <c r="P285" i="8" s="1"/>
  <c r="M284" i="8"/>
  <c r="K281" i="8"/>
  <c r="O274" i="8"/>
  <c r="L272" i="8"/>
  <c r="O272" i="8" s="1"/>
  <c r="O162" i="8"/>
  <c r="N160" i="8"/>
  <c r="N159" i="8"/>
  <c r="N157" i="8" s="1"/>
  <c r="K84" i="8"/>
  <c r="I82" i="8"/>
  <c r="Q26" i="8"/>
  <c r="P52" i="8"/>
  <c r="M26" i="8"/>
  <c r="M50" i="8"/>
  <c r="P50" i="8" s="1"/>
  <c r="L284" i="8"/>
  <c r="Q268" i="8"/>
  <c r="N188" i="8"/>
  <c r="S159" i="8"/>
  <c r="S157" i="8" s="1"/>
  <c r="P144" i="8"/>
  <c r="N142" i="8"/>
  <c r="U118" i="8"/>
  <c r="L335" i="8"/>
  <c r="S305" i="8"/>
  <c r="S303" i="8" s="1"/>
  <c r="M305" i="8"/>
  <c r="S188" i="8"/>
  <c r="M188" i="8"/>
  <c r="R173" i="8"/>
  <c r="K156" i="8"/>
  <c r="U140" i="8"/>
  <c r="P125" i="8"/>
  <c r="M123" i="8"/>
  <c r="P123" i="8" s="1"/>
  <c r="P122" i="8"/>
  <c r="M120" i="8"/>
  <c r="P120" i="8" s="1"/>
  <c r="T118" i="8"/>
  <c r="N100" i="8"/>
  <c r="N26" i="8"/>
  <c r="N24" i="8" s="1"/>
  <c r="O95" i="8"/>
  <c r="L285" i="8"/>
  <c r="O285" i="8" s="1"/>
  <c r="Q269" i="8"/>
  <c r="T269" i="8" s="1"/>
  <c r="K251" i="8"/>
  <c r="Q176" i="8"/>
  <c r="T176" i="8" s="1"/>
  <c r="Q173" i="8"/>
  <c r="O158" i="8"/>
  <c r="U122" i="8"/>
  <c r="S120" i="8"/>
  <c r="U120" i="8" s="1"/>
  <c r="S119" i="8"/>
  <c r="K108" i="8"/>
  <c r="P102" i="8"/>
  <c r="M100" i="8"/>
  <c r="P100" i="8" s="1"/>
  <c r="P67" i="8"/>
  <c r="M65" i="8"/>
  <c r="P65" i="8" s="1"/>
  <c r="M61" i="8"/>
  <c r="P22" i="8"/>
  <c r="M19" i="8"/>
  <c r="T178" i="8"/>
  <c r="I168" i="8"/>
  <c r="K168" i="8" s="1"/>
  <c r="I169" i="8"/>
  <c r="K169" i="8" s="1"/>
  <c r="N119" i="8"/>
  <c r="N117" i="8" s="1"/>
  <c r="N97" i="8"/>
  <c r="N23" i="8"/>
  <c r="R94" i="8"/>
  <c r="U94" i="8" s="1"/>
  <c r="U95" i="8"/>
  <c r="S26" i="8"/>
  <c r="S24" i="8" s="1"/>
  <c r="R19" i="8"/>
  <c r="L19" i="8"/>
  <c r="P158" i="8"/>
  <c r="K154" i="8"/>
  <c r="P118" i="8"/>
  <c r="P95" i="8"/>
  <c r="T80" i="8"/>
  <c r="T77" i="8"/>
  <c r="S23" i="8"/>
  <c r="M23" i="8"/>
  <c r="M21" i="8" s="1"/>
  <c r="K85" i="8"/>
  <c r="L65" i="8"/>
  <c r="O65" i="8" s="1"/>
  <c r="L50" i="8"/>
  <c r="O50" i="8" s="1"/>
  <c r="L26" i="8"/>
  <c r="R23" i="8"/>
  <c r="R21" i="8" s="1"/>
  <c r="L23" i="8"/>
  <c r="L21" i="8" s="1"/>
  <c r="P73" i="8"/>
  <c r="P60" i="8"/>
  <c r="P45" i="8"/>
  <c r="U25" i="8"/>
  <c r="O25" i="8"/>
  <c r="Q23" i="8"/>
  <c r="U22" i="8"/>
  <c r="O22" i="8"/>
  <c r="P125" i="7"/>
  <c r="M123" i="7"/>
  <c r="P123" i="7" s="1"/>
  <c r="R59" i="7"/>
  <c r="U59" i="7" s="1"/>
  <c r="U61" i="7"/>
  <c r="I302" i="5"/>
  <c r="K302" i="5" s="1"/>
  <c r="M561" i="6"/>
  <c r="P561" i="6" s="1"/>
  <c r="P563" i="6"/>
  <c r="Q730" i="7"/>
  <c r="Q728" i="7" s="1"/>
  <c r="T733" i="7"/>
  <c r="U556" i="7"/>
  <c r="R555" i="7"/>
  <c r="U555" i="7" s="1"/>
  <c r="P540" i="7"/>
  <c r="N537" i="7"/>
  <c r="N415" i="7"/>
  <c r="N416" i="7"/>
  <c r="P416" i="7" s="1"/>
  <c r="N159" i="7"/>
  <c r="N157" i="7" s="1"/>
  <c r="N160" i="7"/>
  <c r="O287" i="6"/>
  <c r="L285" i="6"/>
  <c r="O285" i="6" s="1"/>
  <c r="M690" i="7"/>
  <c r="P690" i="7" s="1"/>
  <c r="M605" i="7"/>
  <c r="P605" i="7" s="1"/>
  <c r="P607" i="7"/>
  <c r="I492" i="7"/>
  <c r="K492" i="7" s="1"/>
  <c r="K503" i="7"/>
  <c r="L326" i="7"/>
  <c r="O326" i="7" s="1"/>
  <c r="O328" i="7"/>
  <c r="K220" i="7"/>
  <c r="I213" i="7"/>
  <c r="K213" i="7" s="1"/>
  <c r="M175" i="7"/>
  <c r="M173" i="7" s="1"/>
  <c r="P178" i="7"/>
  <c r="M176" i="7"/>
  <c r="P176" i="7" s="1"/>
  <c r="P165" i="5"/>
  <c r="M605" i="6"/>
  <c r="P605" i="6" s="1"/>
  <c r="P607" i="6"/>
  <c r="R415" i="6"/>
  <c r="R413" i="6" s="1"/>
  <c r="U413" i="6" s="1"/>
  <c r="R416" i="6"/>
  <c r="P643" i="7"/>
  <c r="M642" i="7"/>
  <c r="P642" i="7" s="1"/>
  <c r="S618" i="7"/>
  <c r="S616" i="7" s="1"/>
  <c r="S619" i="7"/>
  <c r="U619" i="7" s="1"/>
  <c r="L306" i="7"/>
  <c r="O306" i="7" s="1"/>
  <c r="O308" i="7"/>
  <c r="L305" i="7"/>
  <c r="O305" i="7" s="1"/>
  <c r="I240" i="7"/>
  <c r="K240" i="7" s="1"/>
  <c r="L61" i="7"/>
  <c r="L59" i="7" s="1"/>
  <c r="O64" i="7"/>
  <c r="L62" i="7"/>
  <c r="O62" i="7" s="1"/>
  <c r="M499" i="7"/>
  <c r="P499" i="7" s="1"/>
  <c r="P501" i="7"/>
  <c r="R763" i="4"/>
  <c r="L377" i="4"/>
  <c r="L375" i="4" s="1"/>
  <c r="K781" i="5"/>
  <c r="S618" i="5"/>
  <c r="S616" i="5" s="1"/>
  <c r="U616" i="5" s="1"/>
  <c r="K440" i="6"/>
  <c r="I423" i="6"/>
  <c r="I412" i="6" s="1"/>
  <c r="K412" i="6" s="1"/>
  <c r="P414" i="7"/>
  <c r="R305" i="7"/>
  <c r="R303" i="7" s="1"/>
  <c r="U308" i="7"/>
  <c r="O80" i="7"/>
  <c r="L78" i="7"/>
  <c r="O78" i="7" s="1"/>
  <c r="Q59" i="7"/>
  <c r="T59" i="7" s="1"/>
  <c r="T60" i="7"/>
  <c r="M19" i="7"/>
  <c r="P518" i="6"/>
  <c r="M516" i="6"/>
  <c r="P516" i="6" s="1"/>
  <c r="P561" i="7"/>
  <c r="I615" i="7"/>
  <c r="K615" i="7" s="1"/>
  <c r="K632" i="7"/>
  <c r="L557" i="7"/>
  <c r="L558" i="7"/>
  <c r="O558" i="7" s="1"/>
  <c r="O560" i="7"/>
  <c r="R392" i="7"/>
  <c r="U392" i="7" s="1"/>
  <c r="U394" i="7"/>
  <c r="J332" i="7"/>
  <c r="K332" i="7" s="1"/>
  <c r="T73" i="7"/>
  <c r="K784" i="6"/>
  <c r="T695" i="6"/>
  <c r="K457" i="6"/>
  <c r="P269" i="6"/>
  <c r="K780" i="7"/>
  <c r="L760" i="7"/>
  <c r="O760" i="7" s="1"/>
  <c r="S731" i="7"/>
  <c r="R728" i="7"/>
  <c r="M714" i="7"/>
  <c r="P714" i="7" s="1"/>
  <c r="K689" i="7"/>
  <c r="J702" i="7"/>
  <c r="J674" i="7"/>
  <c r="R605" i="7"/>
  <c r="U605" i="7" s="1"/>
  <c r="L602" i="7"/>
  <c r="O602" i="7" s="1"/>
  <c r="K575" i="7"/>
  <c r="P542" i="7"/>
  <c r="M536" i="7"/>
  <c r="M516" i="7"/>
  <c r="P516" i="7" s="1"/>
  <c r="L496" i="7"/>
  <c r="O496" i="7" s="1"/>
  <c r="O421" i="7"/>
  <c r="M415" i="7"/>
  <c r="S416" i="7"/>
  <c r="S395" i="7"/>
  <c r="R378" i="7"/>
  <c r="U378" i="7" s="1"/>
  <c r="S377" i="7"/>
  <c r="T377" i="7" s="1"/>
  <c r="P341" i="7"/>
  <c r="Q333" i="7"/>
  <c r="T333" i="7" s="1"/>
  <c r="I319" i="7"/>
  <c r="K319" i="7" s="1"/>
  <c r="O311" i="7"/>
  <c r="Q306" i="7"/>
  <c r="O271" i="7"/>
  <c r="M268" i="7"/>
  <c r="I238" i="7"/>
  <c r="K238" i="7" s="1"/>
  <c r="N232" i="7"/>
  <c r="Q235" i="7"/>
  <c r="N188" i="7"/>
  <c r="N186" i="7" s="1"/>
  <c r="N141" i="7"/>
  <c r="N139" i="7" s="1"/>
  <c r="I137" i="7"/>
  <c r="K137" i="7" s="1"/>
  <c r="U123" i="7"/>
  <c r="L536" i="6"/>
  <c r="L534" i="6" s="1"/>
  <c r="O534" i="6" s="1"/>
  <c r="J374" i="6"/>
  <c r="P359" i="6"/>
  <c r="L268" i="6"/>
  <c r="L266" i="6" s="1"/>
  <c r="M760" i="7"/>
  <c r="P760" i="7" s="1"/>
  <c r="U733" i="7"/>
  <c r="N728" i="7"/>
  <c r="K703" i="7"/>
  <c r="S690" i="7"/>
  <c r="R642" i="7"/>
  <c r="U642" i="7" s="1"/>
  <c r="S601" i="7"/>
  <c r="S599" i="7" s="1"/>
  <c r="M601" i="7"/>
  <c r="M599" i="7" s="1"/>
  <c r="S602" i="7"/>
  <c r="M578" i="7"/>
  <c r="M576" i="7" s="1"/>
  <c r="L579" i="7"/>
  <c r="O579" i="7" s="1"/>
  <c r="L536" i="7"/>
  <c r="L534" i="7" s="1"/>
  <c r="K533" i="7"/>
  <c r="L515" i="7"/>
  <c r="O515" i="7" s="1"/>
  <c r="K504" i="7"/>
  <c r="M495" i="7"/>
  <c r="P495" i="7" s="1"/>
  <c r="S496" i="7"/>
  <c r="S413" i="7"/>
  <c r="R395" i="7"/>
  <c r="U395" i="7" s="1"/>
  <c r="O393" i="7"/>
  <c r="L377" i="7"/>
  <c r="O377" i="7" s="1"/>
  <c r="Q378" i="7"/>
  <c r="T378" i="7" s="1"/>
  <c r="K346" i="7"/>
  <c r="O287" i="7"/>
  <c r="O274" i="7"/>
  <c r="S188" i="7"/>
  <c r="S186" i="7" s="1"/>
  <c r="M188" i="7"/>
  <c r="S189" i="7"/>
  <c r="N142" i="7"/>
  <c r="T125" i="7"/>
  <c r="R119" i="7"/>
  <c r="I83" i="7"/>
  <c r="I71" i="7" s="1"/>
  <c r="K71" i="7" s="1"/>
  <c r="L74" i="7"/>
  <c r="L72" i="7" s="1"/>
  <c r="P65" i="7"/>
  <c r="M61" i="7"/>
  <c r="M59" i="7" s="1"/>
  <c r="K727" i="6"/>
  <c r="S618" i="6"/>
  <c r="S616" i="6" s="1"/>
  <c r="P604" i="6"/>
  <c r="Q762" i="7"/>
  <c r="Q760" i="7" s="1"/>
  <c r="S714" i="7"/>
  <c r="R692" i="7"/>
  <c r="R690" i="7" s="1"/>
  <c r="U690" i="7" s="1"/>
  <c r="R602" i="7"/>
  <c r="U602" i="7" s="1"/>
  <c r="O540" i="7"/>
  <c r="R496" i="7"/>
  <c r="U496" i="7" s="1"/>
  <c r="K456" i="7"/>
  <c r="L339" i="7"/>
  <c r="O339" i="7" s="1"/>
  <c r="L335" i="7"/>
  <c r="S269" i="7"/>
  <c r="I242" i="7"/>
  <c r="K242" i="7" s="1"/>
  <c r="Q192" i="7"/>
  <c r="T192" i="7" s="1"/>
  <c r="R188" i="7"/>
  <c r="R186" i="7" s="1"/>
  <c r="L188" i="7"/>
  <c r="R189" i="7"/>
  <c r="T178" i="7"/>
  <c r="M160" i="7"/>
  <c r="L145" i="7"/>
  <c r="O145" i="7" s="1"/>
  <c r="O144" i="7"/>
  <c r="L142" i="7"/>
  <c r="I136" i="7"/>
  <c r="K136" i="7" s="1"/>
  <c r="K127" i="7"/>
  <c r="U122" i="7"/>
  <c r="N119" i="7"/>
  <c r="N117" i="7" s="1"/>
  <c r="L119" i="7"/>
  <c r="L117" i="7" s="1"/>
  <c r="O117" i="7" s="1"/>
  <c r="R74" i="7"/>
  <c r="R72" i="7" s="1"/>
  <c r="L75" i="7"/>
  <c r="O75" i="7" s="1"/>
  <c r="O67" i="7"/>
  <c r="S19" i="7"/>
  <c r="P191" i="6"/>
  <c r="L159" i="6"/>
  <c r="L157" i="6" s="1"/>
  <c r="R763" i="7"/>
  <c r="U763" i="7" s="1"/>
  <c r="U621" i="7"/>
  <c r="U607" i="7"/>
  <c r="O607" i="7"/>
  <c r="Q601" i="7"/>
  <c r="Q599" i="7" s="1"/>
  <c r="T599" i="7" s="1"/>
  <c r="Q602" i="7"/>
  <c r="T602" i="7" s="1"/>
  <c r="Q576" i="7"/>
  <c r="T576" i="7" s="1"/>
  <c r="P558" i="7"/>
  <c r="O501" i="7"/>
  <c r="Q496" i="7"/>
  <c r="T496" i="7" s="1"/>
  <c r="M392" i="7"/>
  <c r="P392" i="7" s="1"/>
  <c r="O383" i="7"/>
  <c r="P380" i="7"/>
  <c r="Q375" i="7"/>
  <c r="P364" i="7"/>
  <c r="P361" i="7"/>
  <c r="S356" i="7"/>
  <c r="R269" i="7"/>
  <c r="I241" i="7"/>
  <c r="K241" i="7" s="1"/>
  <c r="L222" i="7"/>
  <c r="O222" i="7" s="1"/>
  <c r="I221" i="7"/>
  <c r="K221" i="7" s="1"/>
  <c r="P194" i="7"/>
  <c r="Q188" i="7"/>
  <c r="T188" i="7" s="1"/>
  <c r="Q189" i="7"/>
  <c r="S141" i="7"/>
  <c r="S139" i="7" s="1"/>
  <c r="O125" i="7"/>
  <c r="S119" i="7"/>
  <c r="S117" i="7" s="1"/>
  <c r="M119" i="7"/>
  <c r="P119" i="7" s="1"/>
  <c r="S120" i="7"/>
  <c r="U120" i="7" s="1"/>
  <c r="U80" i="7"/>
  <c r="Q74" i="7"/>
  <c r="Q72" i="7" s="1"/>
  <c r="O162" i="5"/>
  <c r="K779" i="6"/>
  <c r="M192" i="6"/>
  <c r="P192" i="6" s="1"/>
  <c r="T77" i="6"/>
  <c r="K758" i="7"/>
  <c r="U730" i="7"/>
  <c r="T716" i="7"/>
  <c r="K705" i="7"/>
  <c r="T621" i="7"/>
  <c r="R618" i="7"/>
  <c r="P604" i="7"/>
  <c r="M557" i="7"/>
  <c r="M555" i="7" s="1"/>
  <c r="S555" i="7"/>
  <c r="M515" i="7"/>
  <c r="P515" i="7" s="1"/>
  <c r="P498" i="7"/>
  <c r="K458" i="7"/>
  <c r="P418" i="7"/>
  <c r="N413" i="7"/>
  <c r="U380" i="7"/>
  <c r="O380" i="7"/>
  <c r="L378" i="7"/>
  <c r="O378" i="7" s="1"/>
  <c r="S306" i="7"/>
  <c r="U306" i="7" s="1"/>
  <c r="L269" i="7"/>
  <c r="O269" i="7" s="1"/>
  <c r="L203" i="7"/>
  <c r="O203" i="7" s="1"/>
  <c r="P191" i="7"/>
  <c r="N189" i="7"/>
  <c r="N175" i="7"/>
  <c r="N173" i="7" s="1"/>
  <c r="P162" i="7"/>
  <c r="L141" i="7"/>
  <c r="L139" i="7" s="1"/>
  <c r="U125" i="7"/>
  <c r="N120" i="7"/>
  <c r="O77" i="7"/>
  <c r="P62" i="7"/>
  <c r="T763" i="7"/>
  <c r="T418" i="7"/>
  <c r="Q415" i="7"/>
  <c r="Q416" i="7"/>
  <c r="M189" i="6"/>
  <c r="P189" i="6" s="1"/>
  <c r="K709" i="7"/>
  <c r="P584" i="7"/>
  <c r="M582" i="7"/>
  <c r="P582" i="7" s="1"/>
  <c r="Q268" i="7"/>
  <c r="T268" i="7" s="1"/>
  <c r="T271" i="7"/>
  <c r="Q269" i="7"/>
  <c r="T254" i="7"/>
  <c r="Q232" i="7"/>
  <c r="O80" i="4"/>
  <c r="R75" i="4"/>
  <c r="U75" i="4" s="1"/>
  <c r="R619" i="5"/>
  <c r="U619" i="5" s="1"/>
  <c r="I169" i="5"/>
  <c r="K169" i="5" s="1"/>
  <c r="N159" i="5"/>
  <c r="N157" i="5" s="1"/>
  <c r="Q762" i="6"/>
  <c r="T762" i="6" s="1"/>
  <c r="J701" i="6"/>
  <c r="U607" i="6"/>
  <c r="P539" i="6"/>
  <c r="M416" i="6"/>
  <c r="P416" i="6" s="1"/>
  <c r="L323" i="6"/>
  <c r="O323" i="6" s="1"/>
  <c r="P271" i="6"/>
  <c r="U191" i="6"/>
  <c r="Q119" i="6"/>
  <c r="Q117" i="6" s="1"/>
  <c r="R78" i="6"/>
  <c r="U78" i="6" s="1"/>
  <c r="Q74" i="6"/>
  <c r="Q72" i="6" s="1"/>
  <c r="M47" i="6"/>
  <c r="R762" i="7"/>
  <c r="P761" i="7"/>
  <c r="Q731" i="7"/>
  <c r="M728" i="7"/>
  <c r="P728" i="7" s="1"/>
  <c r="L690" i="7"/>
  <c r="O690" i="7" s="1"/>
  <c r="L642" i="7"/>
  <c r="O642" i="7" s="1"/>
  <c r="K629" i="7"/>
  <c r="K626" i="7"/>
  <c r="K631" i="7"/>
  <c r="P560" i="7"/>
  <c r="N515" i="7"/>
  <c r="N513" i="7" s="1"/>
  <c r="O494" i="7"/>
  <c r="R415" i="7"/>
  <c r="M381" i="7"/>
  <c r="P381" i="7" s="1"/>
  <c r="P383" i="7"/>
  <c r="I365" i="7"/>
  <c r="K365" i="7" s="1"/>
  <c r="K371" i="7"/>
  <c r="P334" i="7"/>
  <c r="Q320" i="7"/>
  <c r="T320" i="7" s="1"/>
  <c r="T321" i="7"/>
  <c r="P539" i="7"/>
  <c r="M537" i="7"/>
  <c r="P537" i="7" s="1"/>
  <c r="P325" i="7"/>
  <c r="M323" i="7"/>
  <c r="P323" i="7" s="1"/>
  <c r="M322" i="7"/>
  <c r="P322" i="7" s="1"/>
  <c r="M288" i="7"/>
  <c r="P288" i="7" s="1"/>
  <c r="L235" i="7"/>
  <c r="L243" i="7"/>
  <c r="S762" i="7"/>
  <c r="L714" i="7"/>
  <c r="O714" i="7" s="1"/>
  <c r="P600" i="7"/>
  <c r="M515" i="4"/>
  <c r="P515" i="4" s="1"/>
  <c r="Q644" i="5"/>
  <c r="Q642" i="5" s="1"/>
  <c r="T642" i="5" s="1"/>
  <c r="O147" i="5"/>
  <c r="S97" i="5"/>
  <c r="K783" i="6"/>
  <c r="K780" i="6"/>
  <c r="M381" i="6"/>
  <c r="P381" i="6" s="1"/>
  <c r="Q377" i="6"/>
  <c r="Q375" i="6" s="1"/>
  <c r="K369" i="6"/>
  <c r="L339" i="6"/>
  <c r="O339" i="6" s="1"/>
  <c r="K292" i="6"/>
  <c r="L272" i="6"/>
  <c r="O272" i="6" s="1"/>
  <c r="O271" i="6"/>
  <c r="L236" i="6"/>
  <c r="K154" i="6"/>
  <c r="P125" i="6"/>
  <c r="T80" i="6"/>
  <c r="M78" i="6"/>
  <c r="P78" i="6" s="1"/>
  <c r="L62" i="6"/>
  <c r="O62" i="6" s="1"/>
  <c r="L728" i="7"/>
  <c r="O728" i="7" s="1"/>
  <c r="P715" i="7"/>
  <c r="R714" i="7"/>
  <c r="U714" i="7" s="1"/>
  <c r="U695" i="7"/>
  <c r="S693" i="7"/>
  <c r="T693" i="7" s="1"/>
  <c r="S645" i="7"/>
  <c r="K630" i="7"/>
  <c r="L616" i="7"/>
  <c r="O616" i="7" s="1"/>
  <c r="M616" i="7"/>
  <c r="P616" i="7" s="1"/>
  <c r="S534" i="7"/>
  <c r="O535" i="7"/>
  <c r="S493" i="7"/>
  <c r="I423" i="7"/>
  <c r="K440" i="7"/>
  <c r="I374" i="7"/>
  <c r="N305" i="7"/>
  <c r="N303" i="7" s="1"/>
  <c r="I759" i="7"/>
  <c r="K759" i="7" s="1"/>
  <c r="P556" i="7"/>
  <c r="Q731" i="4"/>
  <c r="K778" i="6"/>
  <c r="O189" i="6"/>
  <c r="N601" i="7"/>
  <c r="N599" i="7" s="1"/>
  <c r="Q513" i="7"/>
  <c r="T513" i="7" s="1"/>
  <c r="T514" i="7"/>
  <c r="P494" i="7"/>
  <c r="L288" i="7"/>
  <c r="O288" i="7" s="1"/>
  <c r="O290" i="7"/>
  <c r="L284" i="7"/>
  <c r="I758" i="4"/>
  <c r="K758" i="4" s="1"/>
  <c r="L268" i="4"/>
  <c r="L266" i="4" s="1"/>
  <c r="L236" i="4"/>
  <c r="O607" i="5"/>
  <c r="N601" i="5"/>
  <c r="N599" i="5" s="1"/>
  <c r="P102" i="5"/>
  <c r="P77" i="5"/>
  <c r="K782" i="6"/>
  <c r="O584" i="6"/>
  <c r="U271" i="6"/>
  <c r="L235" i="6"/>
  <c r="R141" i="6"/>
  <c r="R139" i="6" s="1"/>
  <c r="M119" i="6"/>
  <c r="M117" i="6" s="1"/>
  <c r="P117" i="6" s="1"/>
  <c r="U77" i="6"/>
  <c r="S75" i="6"/>
  <c r="U75" i="6" s="1"/>
  <c r="T761" i="7"/>
  <c r="U729" i="7"/>
  <c r="K707" i="7"/>
  <c r="T695" i="7"/>
  <c r="U691" i="7"/>
  <c r="T647" i="7"/>
  <c r="U643" i="7"/>
  <c r="T617" i="7"/>
  <c r="R534" i="7"/>
  <c r="U534" i="7" s="1"/>
  <c r="U535" i="7"/>
  <c r="O518" i="7"/>
  <c r="L516" i="7"/>
  <c r="O516" i="7" s="1"/>
  <c r="R493" i="7"/>
  <c r="U493" i="7" s="1"/>
  <c r="U494" i="7"/>
  <c r="L415" i="7"/>
  <c r="L416" i="7"/>
  <c r="O418" i="7"/>
  <c r="R416" i="7"/>
  <c r="R356" i="7"/>
  <c r="U356" i="7" s="1"/>
  <c r="P338" i="7"/>
  <c r="M336" i="7"/>
  <c r="M335" i="7"/>
  <c r="P267" i="7"/>
  <c r="R513" i="7"/>
  <c r="U513" i="7" s="1"/>
  <c r="O539" i="7"/>
  <c r="L537" i="7"/>
  <c r="O537" i="7" s="1"/>
  <c r="N495" i="7"/>
  <c r="N493" i="7" s="1"/>
  <c r="P271" i="5"/>
  <c r="J702" i="6"/>
  <c r="I374" i="6"/>
  <c r="Q141" i="6"/>
  <c r="Q139" i="6" s="1"/>
  <c r="T765" i="7"/>
  <c r="Q692" i="7"/>
  <c r="T692" i="7" s="1"/>
  <c r="Q644" i="7"/>
  <c r="T644" i="7" s="1"/>
  <c r="N578" i="7"/>
  <c r="N576" i="7" s="1"/>
  <c r="L578" i="7"/>
  <c r="O563" i="7"/>
  <c r="L561" i="7"/>
  <c r="O561" i="7" s="1"/>
  <c r="Q534" i="7"/>
  <c r="T534" i="7" s="1"/>
  <c r="T535" i="7"/>
  <c r="N322" i="7"/>
  <c r="N320" i="7" s="1"/>
  <c r="M284" i="7"/>
  <c r="O267" i="7"/>
  <c r="N377" i="7"/>
  <c r="N375" i="7" s="1"/>
  <c r="Q356" i="7"/>
  <c r="T356" i="7" s="1"/>
  <c r="T357" i="7"/>
  <c r="O334" i="7"/>
  <c r="O325" i="7"/>
  <c r="L323" i="7"/>
  <c r="O323" i="7" s="1"/>
  <c r="L160" i="7"/>
  <c r="O160" i="7" s="1"/>
  <c r="O162" i="7"/>
  <c r="L159" i="7"/>
  <c r="P102" i="7"/>
  <c r="M96" i="7"/>
  <c r="M100" i="7"/>
  <c r="P100" i="7" s="1"/>
  <c r="U19" i="7"/>
  <c r="M377" i="7"/>
  <c r="P377" i="7" s="1"/>
  <c r="P376" i="7"/>
  <c r="N358" i="7"/>
  <c r="N356" i="7" s="1"/>
  <c r="M358" i="7"/>
  <c r="S333" i="7"/>
  <c r="L322" i="7"/>
  <c r="O322" i="7" s="1"/>
  <c r="O304" i="7"/>
  <c r="M272" i="7"/>
  <c r="P272" i="7" s="1"/>
  <c r="R160" i="7"/>
  <c r="U160" i="7" s="1"/>
  <c r="R159" i="7"/>
  <c r="U162" i="7"/>
  <c r="P118" i="7"/>
  <c r="L46" i="7"/>
  <c r="T19" i="7"/>
  <c r="R333" i="7"/>
  <c r="U333" i="7" s="1"/>
  <c r="U334" i="7"/>
  <c r="S320" i="7"/>
  <c r="O321" i="7"/>
  <c r="U304" i="7"/>
  <c r="T175" i="7"/>
  <c r="Q173" i="7"/>
  <c r="T162" i="7"/>
  <c r="Q159" i="7"/>
  <c r="O52" i="7"/>
  <c r="L26" i="7"/>
  <c r="O361" i="7"/>
  <c r="L359" i="7"/>
  <c r="O359" i="7" s="1"/>
  <c r="M359" i="7"/>
  <c r="P359" i="7" s="1"/>
  <c r="R320" i="7"/>
  <c r="U320" i="7" s="1"/>
  <c r="U321" i="7"/>
  <c r="Q303" i="7"/>
  <c r="T304" i="7"/>
  <c r="N284" i="7"/>
  <c r="N282" i="7" s="1"/>
  <c r="P287" i="7"/>
  <c r="N285" i="7"/>
  <c r="O285" i="7" s="1"/>
  <c r="K293" i="7"/>
  <c r="U271" i="7"/>
  <c r="S266" i="7"/>
  <c r="L254" i="7"/>
  <c r="O254" i="7" s="1"/>
  <c r="P187" i="7"/>
  <c r="L176" i="7"/>
  <c r="O176" i="7" s="1"/>
  <c r="O178" i="7"/>
  <c r="L175" i="7"/>
  <c r="S173" i="7"/>
  <c r="Q97" i="7"/>
  <c r="T97" i="7" s="1"/>
  <c r="Q96" i="7"/>
  <c r="Q94" i="7" s="1"/>
  <c r="T99" i="7"/>
  <c r="Q26" i="7"/>
  <c r="R266" i="7"/>
  <c r="L214" i="7"/>
  <c r="O214" i="7" s="1"/>
  <c r="K209" i="7"/>
  <c r="L179" i="7"/>
  <c r="O179" i="7" s="1"/>
  <c r="O181" i="7"/>
  <c r="R176" i="7"/>
  <c r="U178" i="7"/>
  <c r="R173" i="7"/>
  <c r="M142" i="7"/>
  <c r="P144" i="7"/>
  <c r="M141" i="7"/>
  <c r="N97" i="7"/>
  <c r="P97" i="7" s="1"/>
  <c r="N96" i="7"/>
  <c r="N94" i="7" s="1"/>
  <c r="N23" i="7"/>
  <c r="N100" i="7"/>
  <c r="N26" i="7"/>
  <c r="N24" i="7" s="1"/>
  <c r="P45" i="7"/>
  <c r="P19" i="7"/>
  <c r="P60" i="7"/>
  <c r="M47" i="7"/>
  <c r="P47" i="7" s="1"/>
  <c r="M23" i="7"/>
  <c r="M21" i="7" s="1"/>
  <c r="P49" i="7"/>
  <c r="M46" i="7"/>
  <c r="O19" i="7"/>
  <c r="T191" i="7"/>
  <c r="Q176" i="7"/>
  <c r="P174" i="7"/>
  <c r="K169" i="7"/>
  <c r="O165" i="7"/>
  <c r="P158" i="7"/>
  <c r="R141" i="7"/>
  <c r="Q119" i="7"/>
  <c r="K108" i="7"/>
  <c r="P99" i="7"/>
  <c r="S96" i="7"/>
  <c r="S94" i="7" s="1"/>
  <c r="I82" i="7"/>
  <c r="P80" i="7"/>
  <c r="P77" i="7"/>
  <c r="M74" i="7"/>
  <c r="M72" i="7" s="1"/>
  <c r="P73" i="7"/>
  <c r="P67" i="7"/>
  <c r="P64" i="7"/>
  <c r="S59" i="7"/>
  <c r="T45" i="7"/>
  <c r="L23" i="7"/>
  <c r="L21" i="7" s="1"/>
  <c r="R142" i="7"/>
  <c r="U142" i="7" s="1"/>
  <c r="Q123" i="7"/>
  <c r="T123" i="7" s="1"/>
  <c r="Q120" i="7"/>
  <c r="K92" i="7"/>
  <c r="O99" i="7"/>
  <c r="T95" i="7"/>
  <c r="R145" i="7"/>
  <c r="U145" i="7" s="1"/>
  <c r="O25" i="7"/>
  <c r="O22" i="7"/>
  <c r="I138" i="7"/>
  <c r="K138" i="7" s="1"/>
  <c r="S78" i="7"/>
  <c r="S26" i="7"/>
  <c r="S75" i="7"/>
  <c r="U75" i="7" s="1"/>
  <c r="S23" i="7"/>
  <c r="T77" i="7"/>
  <c r="P75" i="7"/>
  <c r="S74" i="7"/>
  <c r="S72" i="7" s="1"/>
  <c r="L65" i="7"/>
  <c r="O65" i="7" s="1"/>
  <c r="M26" i="7"/>
  <c r="M50" i="7"/>
  <c r="P50" i="7" s="1"/>
  <c r="U25" i="7"/>
  <c r="R23" i="7"/>
  <c r="R21" i="7" s="1"/>
  <c r="U22" i="7"/>
  <c r="Q141" i="7"/>
  <c r="R96" i="7"/>
  <c r="L96" i="7"/>
  <c r="N74" i="7"/>
  <c r="N61" i="7"/>
  <c r="N59" i="7" s="1"/>
  <c r="N46" i="7"/>
  <c r="N44" i="7" s="1"/>
  <c r="K183" i="7"/>
  <c r="Q145" i="7"/>
  <c r="T145" i="7" s="1"/>
  <c r="Q142" i="7"/>
  <c r="T142" i="7" s="1"/>
  <c r="L100" i="7"/>
  <c r="O100" i="7" s="1"/>
  <c r="R97" i="7"/>
  <c r="U97" i="7" s="1"/>
  <c r="L97" i="7"/>
  <c r="Q23" i="7"/>
  <c r="L381" i="6"/>
  <c r="O381" i="6" s="1"/>
  <c r="O383" i="6"/>
  <c r="T283" i="6"/>
  <c r="Q282" i="6"/>
  <c r="T282" i="6" s="1"/>
  <c r="I701" i="5"/>
  <c r="U377" i="5"/>
  <c r="M188" i="5"/>
  <c r="M186" i="5" s="1"/>
  <c r="U122" i="5"/>
  <c r="Q731" i="6"/>
  <c r="S728" i="6"/>
  <c r="T728" i="6" s="1"/>
  <c r="K726" i="6"/>
  <c r="U647" i="6"/>
  <c r="S644" i="6"/>
  <c r="S642" i="6" s="1"/>
  <c r="S645" i="6"/>
  <c r="T645" i="6" s="1"/>
  <c r="P577" i="6"/>
  <c r="T556" i="6"/>
  <c r="Q555" i="6"/>
  <c r="T555" i="6" s="1"/>
  <c r="L359" i="6"/>
  <c r="O359" i="6" s="1"/>
  <c r="O361" i="6"/>
  <c r="I265" i="6"/>
  <c r="K265" i="6" s="1"/>
  <c r="K276" i="6"/>
  <c r="P162" i="6"/>
  <c r="N160" i="6"/>
  <c r="P160" i="6" s="1"/>
  <c r="P144" i="6"/>
  <c r="M141" i="6"/>
  <c r="M142" i="6"/>
  <c r="P142" i="6" s="1"/>
  <c r="R692" i="6"/>
  <c r="U692" i="6" s="1"/>
  <c r="R693" i="6"/>
  <c r="U695" i="6"/>
  <c r="U695" i="4"/>
  <c r="Q416" i="4"/>
  <c r="T416" i="4" s="1"/>
  <c r="J374" i="4"/>
  <c r="L516" i="5"/>
  <c r="O516" i="5" s="1"/>
  <c r="R763" i="6"/>
  <c r="N601" i="6"/>
  <c r="N599" i="6" s="1"/>
  <c r="N602" i="6"/>
  <c r="Q576" i="6"/>
  <c r="T576" i="6" s="1"/>
  <c r="T578" i="6"/>
  <c r="P147" i="6"/>
  <c r="M145" i="6"/>
  <c r="P145" i="6" s="1"/>
  <c r="M496" i="6"/>
  <c r="P496" i="6" s="1"/>
  <c r="M495" i="6"/>
  <c r="P495" i="6" s="1"/>
  <c r="M272" i="6"/>
  <c r="P272" i="6" s="1"/>
  <c r="P274" i="6"/>
  <c r="L243" i="6"/>
  <c r="O243" i="6" s="1"/>
  <c r="L233" i="6"/>
  <c r="U765" i="4"/>
  <c r="R731" i="4"/>
  <c r="S496" i="4"/>
  <c r="L419" i="4"/>
  <c r="O419" i="4" s="1"/>
  <c r="L415" i="4"/>
  <c r="L413" i="4" s="1"/>
  <c r="N377" i="4"/>
  <c r="N375" i="4" s="1"/>
  <c r="K169" i="4"/>
  <c r="O269" i="5"/>
  <c r="R268" i="5"/>
  <c r="R266" i="5" s="1"/>
  <c r="S173" i="5"/>
  <c r="M46" i="5"/>
  <c r="N46" i="5"/>
  <c r="N44" i="5" s="1"/>
  <c r="K781" i="6"/>
  <c r="K772" i="6"/>
  <c r="N322" i="6"/>
  <c r="N320" i="6" s="1"/>
  <c r="N323" i="6"/>
  <c r="P285" i="6"/>
  <c r="L78" i="6"/>
  <c r="O78" i="6" s="1"/>
  <c r="O80" i="6"/>
  <c r="P421" i="4"/>
  <c r="P311" i="5"/>
  <c r="N284" i="5"/>
  <c r="N282" i="5" s="1"/>
  <c r="P125" i="5"/>
  <c r="Q78" i="5"/>
  <c r="T78" i="5" s="1"/>
  <c r="P762" i="6"/>
  <c r="R282" i="6"/>
  <c r="U282" i="6" s="1"/>
  <c r="M74" i="6"/>
  <c r="M72" i="6" s="1"/>
  <c r="M75" i="6"/>
  <c r="P75" i="6" s="1"/>
  <c r="P77" i="6"/>
  <c r="J675" i="5"/>
  <c r="P607" i="5"/>
  <c r="L561" i="5"/>
  <c r="O561" i="5" s="1"/>
  <c r="M377" i="5"/>
  <c r="P377" i="5" s="1"/>
  <c r="P287" i="5"/>
  <c r="I138" i="5"/>
  <c r="K138" i="5" s="1"/>
  <c r="K127" i="5"/>
  <c r="N119" i="5"/>
  <c r="N117" i="5" s="1"/>
  <c r="L74" i="5"/>
  <c r="O74" i="5" s="1"/>
  <c r="M74" i="5"/>
  <c r="P74" i="5" s="1"/>
  <c r="K785" i="6"/>
  <c r="S760" i="6"/>
  <c r="N728" i="6"/>
  <c r="N516" i="6"/>
  <c r="N515" i="6"/>
  <c r="N513" i="6" s="1"/>
  <c r="R375" i="6"/>
  <c r="N336" i="6"/>
  <c r="P336" i="6" s="1"/>
  <c r="N335" i="6"/>
  <c r="N333" i="6" s="1"/>
  <c r="U60" i="6"/>
  <c r="R59" i="6"/>
  <c r="U59" i="6" s="1"/>
  <c r="M714" i="6"/>
  <c r="P714" i="6" s="1"/>
  <c r="K707" i="6"/>
  <c r="O691" i="6"/>
  <c r="K676" i="6"/>
  <c r="K654" i="6"/>
  <c r="P643" i="6"/>
  <c r="R618" i="6"/>
  <c r="S601" i="6"/>
  <c r="S599" i="6" s="1"/>
  <c r="M601" i="6"/>
  <c r="P601" i="6" s="1"/>
  <c r="S602" i="6"/>
  <c r="P584" i="6"/>
  <c r="P581" i="6"/>
  <c r="O539" i="6"/>
  <c r="M519" i="6"/>
  <c r="P519" i="6" s="1"/>
  <c r="M515" i="6"/>
  <c r="P515" i="6" s="1"/>
  <c r="T515" i="6"/>
  <c r="R496" i="6"/>
  <c r="U496" i="6" s="1"/>
  <c r="K484" i="6"/>
  <c r="K432" i="6"/>
  <c r="N415" i="6"/>
  <c r="N413" i="6" s="1"/>
  <c r="M415" i="6"/>
  <c r="M413" i="6" s="1"/>
  <c r="K386" i="6"/>
  <c r="U376" i="6"/>
  <c r="J332" i="6"/>
  <c r="K332" i="6" s="1"/>
  <c r="P328" i="6"/>
  <c r="N305" i="6"/>
  <c r="N303" i="6" s="1"/>
  <c r="S303" i="6"/>
  <c r="P287" i="6"/>
  <c r="T271" i="6"/>
  <c r="L269" i="6"/>
  <c r="O269" i="6" s="1"/>
  <c r="L254" i="6"/>
  <c r="O254" i="6" s="1"/>
  <c r="K229" i="6"/>
  <c r="I195" i="6"/>
  <c r="K195" i="6" s="1"/>
  <c r="O194" i="6"/>
  <c r="O191" i="6"/>
  <c r="S160" i="6"/>
  <c r="P122" i="6"/>
  <c r="S74" i="6"/>
  <c r="S72" i="6" s="1"/>
  <c r="L74" i="6"/>
  <c r="L72" i="6" s="1"/>
  <c r="P64" i="6"/>
  <c r="O49" i="6"/>
  <c r="L47" i="6"/>
  <c r="T45" i="6"/>
  <c r="O715" i="6"/>
  <c r="S693" i="6"/>
  <c r="T693" i="6" s="1"/>
  <c r="U621" i="6"/>
  <c r="R601" i="6"/>
  <c r="L601" i="6"/>
  <c r="O601" i="6" s="1"/>
  <c r="R602" i="6"/>
  <c r="U602" i="6" s="1"/>
  <c r="O600" i="6"/>
  <c r="S576" i="6"/>
  <c r="L561" i="6"/>
  <c r="O561" i="6" s="1"/>
  <c r="N536" i="6"/>
  <c r="N534" i="6" s="1"/>
  <c r="Q356" i="6"/>
  <c r="T356" i="6" s="1"/>
  <c r="J351" i="6"/>
  <c r="Q333" i="6"/>
  <c r="T333" i="6" s="1"/>
  <c r="L322" i="6"/>
  <c r="O311" i="6"/>
  <c r="P308" i="6"/>
  <c r="S306" i="6"/>
  <c r="T306" i="6" s="1"/>
  <c r="U268" i="6"/>
  <c r="M268" i="6"/>
  <c r="M266" i="6" s="1"/>
  <c r="S269" i="6"/>
  <c r="N232" i="6"/>
  <c r="K221" i="6"/>
  <c r="U194" i="6"/>
  <c r="N188" i="6"/>
  <c r="N186" i="6" s="1"/>
  <c r="T178" i="6"/>
  <c r="Q176" i="6"/>
  <c r="T176" i="6" s="1"/>
  <c r="O162" i="6"/>
  <c r="K153" i="6"/>
  <c r="S141" i="6"/>
  <c r="S139" i="6" s="1"/>
  <c r="N119" i="6"/>
  <c r="N117" i="6" s="1"/>
  <c r="K108" i="6"/>
  <c r="R74" i="6"/>
  <c r="R72" i="6" s="1"/>
  <c r="Q75" i="6"/>
  <c r="S44" i="6"/>
  <c r="R44" i="6"/>
  <c r="U44" i="6" s="1"/>
  <c r="N19" i="6"/>
  <c r="N714" i="6"/>
  <c r="J675" i="6"/>
  <c r="K675" i="6" s="1"/>
  <c r="M578" i="6"/>
  <c r="M576" i="6" s="1"/>
  <c r="K575" i="6"/>
  <c r="L537" i="6"/>
  <c r="O537" i="6" s="1"/>
  <c r="S534" i="6"/>
  <c r="R495" i="6"/>
  <c r="U495" i="6" s="1"/>
  <c r="N377" i="6"/>
  <c r="N375" i="6" s="1"/>
  <c r="O306" i="6"/>
  <c r="N284" i="6"/>
  <c r="N282" i="6" s="1"/>
  <c r="R269" i="6"/>
  <c r="R266" i="6"/>
  <c r="L203" i="6"/>
  <c r="O203" i="6" s="1"/>
  <c r="S188" i="6"/>
  <c r="M188" i="6"/>
  <c r="S189" i="6"/>
  <c r="K183" i="6"/>
  <c r="S175" i="6"/>
  <c r="S173" i="6" s="1"/>
  <c r="S120" i="6"/>
  <c r="U120" i="6" s="1"/>
  <c r="N61" i="6"/>
  <c r="N59" i="6" s="1"/>
  <c r="Q692" i="6"/>
  <c r="T692" i="6" s="1"/>
  <c r="U619" i="6"/>
  <c r="N392" i="6"/>
  <c r="K280" i="6"/>
  <c r="Q269" i="6"/>
  <c r="R188" i="6"/>
  <c r="R186" i="6" s="1"/>
  <c r="L188" i="6"/>
  <c r="R189" i="6"/>
  <c r="M65" i="6"/>
  <c r="P65" i="6" s="1"/>
  <c r="M61" i="6"/>
  <c r="L19" i="6"/>
  <c r="S714" i="6"/>
  <c r="K705" i="6"/>
  <c r="K673" i="6"/>
  <c r="T647" i="6"/>
  <c r="Q644" i="6"/>
  <c r="L642" i="6"/>
  <c r="O642" i="6" s="1"/>
  <c r="O607" i="6"/>
  <c r="L602" i="6"/>
  <c r="O602" i="6" s="1"/>
  <c r="N557" i="6"/>
  <c r="N555" i="6" s="1"/>
  <c r="N558" i="6"/>
  <c r="R555" i="6"/>
  <c r="U555" i="6" s="1"/>
  <c r="R534" i="6"/>
  <c r="U534" i="6" s="1"/>
  <c r="O518" i="6"/>
  <c r="N495" i="6"/>
  <c r="N493" i="6" s="1"/>
  <c r="K433" i="6"/>
  <c r="K424" i="6"/>
  <c r="T397" i="6"/>
  <c r="Q395" i="6"/>
  <c r="T395" i="6" s="1"/>
  <c r="T380" i="6"/>
  <c r="K368" i="6"/>
  <c r="M322" i="6"/>
  <c r="P322" i="6" s="1"/>
  <c r="I302" i="6"/>
  <c r="K302" i="6" s="1"/>
  <c r="K293" i="6"/>
  <c r="L234" i="6"/>
  <c r="L222" i="6"/>
  <c r="O222" i="6" s="1"/>
  <c r="L214" i="6"/>
  <c r="O214" i="6" s="1"/>
  <c r="N141" i="6"/>
  <c r="N139" i="6" s="1"/>
  <c r="Q97" i="6"/>
  <c r="S59" i="6"/>
  <c r="O65" i="5"/>
  <c r="U762" i="6"/>
  <c r="T536" i="6"/>
  <c r="Q534" i="6"/>
  <c r="T534" i="6" s="1"/>
  <c r="Q762" i="5"/>
  <c r="T762" i="5" s="1"/>
  <c r="I759" i="6"/>
  <c r="K759" i="6" s="1"/>
  <c r="K678" i="6"/>
  <c r="O521" i="6"/>
  <c r="L519" i="6"/>
  <c r="O519" i="6" s="1"/>
  <c r="J456" i="6"/>
  <c r="K456" i="6" s="1"/>
  <c r="O380" i="6"/>
  <c r="L378" i="6"/>
  <c r="O378" i="6" s="1"/>
  <c r="L377" i="6"/>
  <c r="R605" i="4"/>
  <c r="U605" i="4" s="1"/>
  <c r="K368" i="4"/>
  <c r="M268" i="4"/>
  <c r="M266" i="4" s="1"/>
  <c r="P271" i="4"/>
  <c r="L233" i="4"/>
  <c r="Q763" i="5"/>
  <c r="T763" i="5" s="1"/>
  <c r="T731" i="5"/>
  <c r="Q645" i="5"/>
  <c r="T645" i="5" s="1"/>
  <c r="U607" i="5"/>
  <c r="R416" i="5"/>
  <c r="Q395" i="5"/>
  <c r="T395" i="5" s="1"/>
  <c r="N358" i="5"/>
  <c r="N356" i="5" s="1"/>
  <c r="M335" i="5"/>
  <c r="M333" i="5" s="1"/>
  <c r="O311" i="5"/>
  <c r="P274" i="5"/>
  <c r="O271" i="5"/>
  <c r="I221" i="5"/>
  <c r="K221" i="5" s="1"/>
  <c r="I168" i="5"/>
  <c r="K168" i="5" s="1"/>
  <c r="O165" i="5"/>
  <c r="U162" i="5"/>
  <c r="S141" i="5"/>
  <c r="S139" i="5" s="1"/>
  <c r="S142" i="5"/>
  <c r="I92" i="5"/>
  <c r="K92" i="5" s="1"/>
  <c r="K108" i="5"/>
  <c r="O102" i="5"/>
  <c r="L100" i="5"/>
  <c r="O100" i="5" s="1"/>
  <c r="I701" i="6"/>
  <c r="T691" i="6"/>
  <c r="I689" i="6"/>
  <c r="K689" i="6" s="1"/>
  <c r="T643" i="6"/>
  <c r="N578" i="6"/>
  <c r="P498" i="6"/>
  <c r="Q413" i="6"/>
  <c r="T413" i="6" s="1"/>
  <c r="T414" i="6"/>
  <c r="S378" i="6"/>
  <c r="T378" i="6" s="1"/>
  <c r="S377" i="6"/>
  <c r="S375" i="6" s="1"/>
  <c r="K242" i="6"/>
  <c r="Q120" i="5"/>
  <c r="T122" i="5"/>
  <c r="T617" i="6"/>
  <c r="M377" i="6"/>
  <c r="M378" i="6"/>
  <c r="P378" i="6" s="1"/>
  <c r="P380" i="6"/>
  <c r="R642" i="6"/>
  <c r="Q619" i="6"/>
  <c r="T619" i="6" s="1"/>
  <c r="Q618" i="6"/>
  <c r="T621" i="6"/>
  <c r="L515" i="6"/>
  <c r="O515" i="6" s="1"/>
  <c r="J701" i="4"/>
  <c r="S601" i="4"/>
  <c r="S599" i="4" s="1"/>
  <c r="P560" i="4"/>
  <c r="K785" i="5"/>
  <c r="J674" i="5"/>
  <c r="M579" i="5"/>
  <c r="M499" i="5"/>
  <c r="P499" i="5" s="1"/>
  <c r="M381" i="5"/>
  <c r="P381" i="5" s="1"/>
  <c r="P380" i="5"/>
  <c r="M378" i="5"/>
  <c r="P378" i="5" s="1"/>
  <c r="M358" i="5"/>
  <c r="M356" i="5" s="1"/>
  <c r="J351" i="5"/>
  <c r="K346" i="5"/>
  <c r="P341" i="5"/>
  <c r="M305" i="5"/>
  <c r="R306" i="5"/>
  <c r="O274" i="5"/>
  <c r="L234" i="5"/>
  <c r="M179" i="5"/>
  <c r="P179" i="5" s="1"/>
  <c r="M175" i="5"/>
  <c r="M173" i="5" s="1"/>
  <c r="S176" i="5"/>
  <c r="K167" i="5"/>
  <c r="N123" i="5"/>
  <c r="O67" i="5"/>
  <c r="U765" i="6"/>
  <c r="S731" i="6"/>
  <c r="U731" i="6" s="1"/>
  <c r="K661" i="6"/>
  <c r="M616" i="6"/>
  <c r="P616" i="6" s="1"/>
  <c r="Q605" i="6"/>
  <c r="T605" i="6" s="1"/>
  <c r="Q601" i="6"/>
  <c r="L578" i="6"/>
  <c r="O581" i="6"/>
  <c r="O577" i="6"/>
  <c r="L540" i="6"/>
  <c r="O540" i="6" s="1"/>
  <c r="O542" i="6"/>
  <c r="M540" i="6"/>
  <c r="P540" i="6" s="1"/>
  <c r="M536" i="6"/>
  <c r="P536" i="6" s="1"/>
  <c r="M499" i="6"/>
  <c r="P499" i="6" s="1"/>
  <c r="K485" i="6"/>
  <c r="M419" i="6"/>
  <c r="P419" i="6" s="1"/>
  <c r="U357" i="6"/>
  <c r="R356" i="6"/>
  <c r="U356" i="6" s="1"/>
  <c r="O178" i="6"/>
  <c r="L176" i="6"/>
  <c r="L175" i="6"/>
  <c r="O60" i="6"/>
  <c r="O102" i="6"/>
  <c r="L100" i="6"/>
  <c r="O100" i="6" s="1"/>
  <c r="R760" i="6"/>
  <c r="K626" i="6"/>
  <c r="K630" i="6"/>
  <c r="K631" i="6"/>
  <c r="T308" i="4"/>
  <c r="J702" i="5"/>
  <c r="O581" i="5"/>
  <c r="L499" i="5"/>
  <c r="O499" i="5" s="1"/>
  <c r="S496" i="5"/>
  <c r="O383" i="5"/>
  <c r="O380" i="5"/>
  <c r="K371" i="5"/>
  <c r="L339" i="5"/>
  <c r="O339" i="5" s="1"/>
  <c r="M322" i="5"/>
  <c r="M320" i="5" s="1"/>
  <c r="P320" i="5" s="1"/>
  <c r="N285" i="5"/>
  <c r="O285" i="5" s="1"/>
  <c r="U269" i="5"/>
  <c r="L203" i="5"/>
  <c r="O203" i="5" s="1"/>
  <c r="T191" i="5"/>
  <c r="R157" i="5"/>
  <c r="U157" i="5" s="1"/>
  <c r="U159" i="5"/>
  <c r="O122" i="5"/>
  <c r="L120" i="5"/>
  <c r="O120" i="5" s="1"/>
  <c r="T765" i="6"/>
  <c r="S763" i="6"/>
  <c r="T763" i="6" s="1"/>
  <c r="T730" i="6"/>
  <c r="M728" i="6"/>
  <c r="P728" i="6" s="1"/>
  <c r="L616" i="6"/>
  <c r="O616" i="6" s="1"/>
  <c r="O617" i="6"/>
  <c r="Q602" i="6"/>
  <c r="T602" i="6" s="1"/>
  <c r="P556" i="6"/>
  <c r="J503" i="6"/>
  <c r="J492" i="6" s="1"/>
  <c r="K504" i="6"/>
  <c r="L499" i="6"/>
  <c r="O499" i="6" s="1"/>
  <c r="Q493" i="6"/>
  <c r="T493" i="6" s="1"/>
  <c r="T494" i="6"/>
  <c r="L419" i="6"/>
  <c r="O419" i="6" s="1"/>
  <c r="K371" i="6"/>
  <c r="I365" i="6"/>
  <c r="K365" i="6" s="1"/>
  <c r="Q266" i="6"/>
  <c r="T268" i="6"/>
  <c r="O181" i="6"/>
  <c r="L179" i="6"/>
  <c r="O179" i="6" s="1"/>
  <c r="L558" i="6"/>
  <c r="O558" i="6" s="1"/>
  <c r="L557" i="6"/>
  <c r="O557" i="6" s="1"/>
  <c r="O560" i="6"/>
  <c r="O338" i="6"/>
  <c r="L335" i="6"/>
  <c r="L336" i="6"/>
  <c r="U731" i="5"/>
  <c r="R730" i="6"/>
  <c r="U733" i="6"/>
  <c r="K629" i="6"/>
  <c r="I758" i="5"/>
  <c r="K758" i="5" s="1"/>
  <c r="Q690" i="5"/>
  <c r="U380" i="5"/>
  <c r="L377" i="5"/>
  <c r="O377" i="5" s="1"/>
  <c r="P364" i="5"/>
  <c r="L335" i="5"/>
  <c r="L333" i="5" s="1"/>
  <c r="P328" i="5"/>
  <c r="L236" i="5"/>
  <c r="N141" i="5"/>
  <c r="N139" i="5" s="1"/>
  <c r="N142" i="5"/>
  <c r="O142" i="5" s="1"/>
  <c r="M65" i="5"/>
  <c r="P65" i="5" s="1"/>
  <c r="P67" i="5"/>
  <c r="L760" i="6"/>
  <c r="O760" i="6" s="1"/>
  <c r="T733" i="6"/>
  <c r="Q714" i="6"/>
  <c r="T714" i="6" s="1"/>
  <c r="K632" i="6"/>
  <c r="U617" i="6"/>
  <c r="I615" i="6"/>
  <c r="K615" i="6" s="1"/>
  <c r="P579" i="6"/>
  <c r="R576" i="6"/>
  <c r="U576" i="6" s="1"/>
  <c r="U577" i="6"/>
  <c r="P560" i="6"/>
  <c r="M557" i="6"/>
  <c r="P557" i="6" s="1"/>
  <c r="U556" i="6"/>
  <c r="O556" i="6"/>
  <c r="K503" i="6"/>
  <c r="I492" i="6"/>
  <c r="K492" i="6" s="1"/>
  <c r="N272" i="6"/>
  <c r="N268" i="6"/>
  <c r="N266" i="6" s="1"/>
  <c r="T191" i="6"/>
  <c r="Q188" i="6"/>
  <c r="Q189" i="6"/>
  <c r="O125" i="6"/>
  <c r="L123" i="6"/>
  <c r="O123" i="6" s="1"/>
  <c r="R123" i="6"/>
  <c r="U123" i="6" s="1"/>
  <c r="L96" i="6"/>
  <c r="L94" i="6" s="1"/>
  <c r="P144" i="5"/>
  <c r="N74" i="5"/>
  <c r="N72" i="5" s="1"/>
  <c r="K703" i="6"/>
  <c r="U536" i="6"/>
  <c r="L496" i="6"/>
  <c r="O496" i="6" s="1"/>
  <c r="L495" i="6"/>
  <c r="K458" i="6"/>
  <c r="L416" i="6"/>
  <c r="O416" i="6" s="1"/>
  <c r="L415" i="6"/>
  <c r="P394" i="6"/>
  <c r="O364" i="6"/>
  <c r="N358" i="6"/>
  <c r="N356" i="6" s="1"/>
  <c r="P361" i="6"/>
  <c r="R306" i="6"/>
  <c r="U308" i="6"/>
  <c r="I238" i="6"/>
  <c r="K238" i="6" s="1"/>
  <c r="I253" i="6"/>
  <c r="K253" i="6" s="1"/>
  <c r="K172" i="6"/>
  <c r="T96" i="6"/>
  <c r="S94" i="6"/>
  <c r="O95" i="6"/>
  <c r="M119" i="5"/>
  <c r="P119" i="5" s="1"/>
  <c r="L61" i="5"/>
  <c r="L59" i="5" s="1"/>
  <c r="S496" i="6"/>
  <c r="U418" i="6"/>
  <c r="S416" i="6"/>
  <c r="L358" i="6"/>
  <c r="J343" i="6"/>
  <c r="T308" i="6"/>
  <c r="Q305" i="6"/>
  <c r="T305" i="6" s="1"/>
  <c r="R305" i="6"/>
  <c r="U305" i="6" s="1"/>
  <c r="R173" i="6"/>
  <c r="O144" i="6"/>
  <c r="L142" i="6"/>
  <c r="O142" i="6" s="1"/>
  <c r="L141" i="6"/>
  <c r="L139" i="6" s="1"/>
  <c r="L119" i="6"/>
  <c r="O19" i="6"/>
  <c r="T498" i="6"/>
  <c r="Q496" i="6"/>
  <c r="T496" i="6" s="1"/>
  <c r="T418" i="6"/>
  <c r="Q416" i="6"/>
  <c r="S395" i="6"/>
  <c r="Q392" i="6"/>
  <c r="T392" i="6" s="1"/>
  <c r="P364" i="6"/>
  <c r="M362" i="6"/>
  <c r="P362" i="6" s="1"/>
  <c r="P290" i="6"/>
  <c r="M288" i="6"/>
  <c r="P288" i="6" s="1"/>
  <c r="M284" i="6"/>
  <c r="I82" i="6"/>
  <c r="U25" i="6"/>
  <c r="R19" i="6"/>
  <c r="S19" i="6"/>
  <c r="T415" i="6"/>
  <c r="L392" i="6"/>
  <c r="O392" i="6" s="1"/>
  <c r="T321" i="6"/>
  <c r="Q320" i="6"/>
  <c r="T320" i="6" s="1"/>
  <c r="O290" i="6"/>
  <c r="L288" i="6"/>
  <c r="O288" i="6" s="1"/>
  <c r="I213" i="6"/>
  <c r="K213" i="6" s="1"/>
  <c r="M175" i="6"/>
  <c r="P178" i="6"/>
  <c r="M176" i="6"/>
  <c r="T162" i="6"/>
  <c r="Q160" i="6"/>
  <c r="T160" i="6" s="1"/>
  <c r="Q159" i="6"/>
  <c r="T159" i="6" s="1"/>
  <c r="T122" i="6"/>
  <c r="Q120" i="6"/>
  <c r="U380" i="6"/>
  <c r="M358" i="6"/>
  <c r="U334" i="6"/>
  <c r="P325" i="6"/>
  <c r="I319" i="6"/>
  <c r="K319" i="6" s="1"/>
  <c r="O308" i="6"/>
  <c r="L284" i="6"/>
  <c r="P267" i="6"/>
  <c r="N159" i="6"/>
  <c r="N157" i="6" s="1"/>
  <c r="I83" i="6"/>
  <c r="N78" i="6"/>
  <c r="N26" i="6"/>
  <c r="N24" i="6" s="1"/>
  <c r="U22" i="6"/>
  <c r="R378" i="6"/>
  <c r="K346" i="6"/>
  <c r="P338" i="6"/>
  <c r="M309" i="6"/>
  <c r="P309" i="6" s="1"/>
  <c r="T304" i="6"/>
  <c r="U178" i="6"/>
  <c r="R176" i="6"/>
  <c r="U176" i="6" s="1"/>
  <c r="O165" i="6"/>
  <c r="L163" i="6"/>
  <c r="O163" i="6" s="1"/>
  <c r="M163" i="6"/>
  <c r="P163" i="6" s="1"/>
  <c r="U144" i="6"/>
  <c r="R142" i="6"/>
  <c r="U142" i="6" s="1"/>
  <c r="U73" i="6"/>
  <c r="M306" i="6"/>
  <c r="P306" i="6" s="1"/>
  <c r="M305" i="6"/>
  <c r="S266" i="6"/>
  <c r="I156" i="6"/>
  <c r="K156" i="6" s="1"/>
  <c r="I168" i="6"/>
  <c r="K168" i="6" s="1"/>
  <c r="I169" i="6"/>
  <c r="K169" i="6" s="1"/>
  <c r="O122" i="6"/>
  <c r="L120" i="6"/>
  <c r="O120" i="6" s="1"/>
  <c r="N96" i="6"/>
  <c r="N94" i="6" s="1"/>
  <c r="M339" i="6"/>
  <c r="P339" i="6" s="1"/>
  <c r="M335" i="6"/>
  <c r="L326" i="6"/>
  <c r="O326" i="6" s="1"/>
  <c r="L305" i="6"/>
  <c r="K209" i="6"/>
  <c r="I202" i="6"/>
  <c r="K202" i="6" s="1"/>
  <c r="Q192" i="6"/>
  <c r="T192" i="6" s="1"/>
  <c r="P181" i="6"/>
  <c r="M179" i="6"/>
  <c r="P179" i="6" s="1"/>
  <c r="N175" i="6"/>
  <c r="N173" i="6" s="1"/>
  <c r="N176" i="6"/>
  <c r="O147" i="6"/>
  <c r="L145" i="6"/>
  <c r="O145" i="6" s="1"/>
  <c r="T140" i="6"/>
  <c r="I116" i="6"/>
  <c r="K116" i="6" s="1"/>
  <c r="K127" i="6"/>
  <c r="U122" i="6"/>
  <c r="R119" i="6"/>
  <c r="P102" i="6"/>
  <c r="M100" i="6"/>
  <c r="P100" i="6" s="1"/>
  <c r="P99" i="6"/>
  <c r="M97" i="6"/>
  <c r="P97" i="6" s="1"/>
  <c r="M23" i="6"/>
  <c r="M21" i="6" s="1"/>
  <c r="M96" i="6"/>
  <c r="P52" i="6"/>
  <c r="M26" i="6"/>
  <c r="P26" i="6" s="1"/>
  <c r="N47" i="6"/>
  <c r="N46" i="6"/>
  <c r="P45" i="6"/>
  <c r="P19" i="6"/>
  <c r="K249" i="6"/>
  <c r="M159" i="6"/>
  <c r="R159" i="6"/>
  <c r="S26" i="6"/>
  <c r="S24" i="6" s="1"/>
  <c r="S145" i="6"/>
  <c r="T144" i="6"/>
  <c r="Q142" i="6"/>
  <c r="T142" i="6" s="1"/>
  <c r="T125" i="6"/>
  <c r="Q123" i="6"/>
  <c r="T123" i="6" s="1"/>
  <c r="T99" i="6"/>
  <c r="O99" i="6"/>
  <c r="L97" i="6"/>
  <c r="O97" i="6" s="1"/>
  <c r="R94" i="6"/>
  <c r="U95" i="6"/>
  <c r="K93" i="6"/>
  <c r="O77" i="6"/>
  <c r="N74" i="6"/>
  <c r="N72" i="6" s="1"/>
  <c r="P73" i="6"/>
  <c r="O52" i="6"/>
  <c r="L26" i="6"/>
  <c r="O26" i="6" s="1"/>
  <c r="L50" i="6"/>
  <c r="O50" i="6" s="1"/>
  <c r="M50" i="6"/>
  <c r="P50" i="6" s="1"/>
  <c r="M46" i="6"/>
  <c r="M44" i="6" s="1"/>
  <c r="U147" i="6"/>
  <c r="R145" i="6"/>
  <c r="U145" i="6" s="1"/>
  <c r="S97" i="6"/>
  <c r="S23" i="6"/>
  <c r="S21" i="6" s="1"/>
  <c r="U96" i="6"/>
  <c r="Q94" i="6"/>
  <c r="T95" i="6"/>
  <c r="R26" i="6"/>
  <c r="U26" i="6" s="1"/>
  <c r="O75" i="6"/>
  <c r="O67" i="6"/>
  <c r="L65" i="6"/>
  <c r="O65" i="6" s="1"/>
  <c r="P25" i="6"/>
  <c r="P22" i="6"/>
  <c r="Q173" i="6"/>
  <c r="R160" i="6"/>
  <c r="U160" i="6" s="1"/>
  <c r="T147" i="6"/>
  <c r="Q145" i="6"/>
  <c r="T145" i="6" s="1"/>
  <c r="U99" i="6"/>
  <c r="R97" i="6"/>
  <c r="Q26" i="6"/>
  <c r="L61" i="6"/>
  <c r="P60" i="6"/>
  <c r="O25" i="6"/>
  <c r="N23" i="6"/>
  <c r="O22" i="6"/>
  <c r="Q19" i="6"/>
  <c r="I137" i="6"/>
  <c r="K137" i="6" s="1"/>
  <c r="K85" i="6"/>
  <c r="R23" i="6"/>
  <c r="R21" i="6" s="1"/>
  <c r="L23" i="6"/>
  <c r="Q23" i="6"/>
  <c r="K783" i="4"/>
  <c r="U647" i="4"/>
  <c r="M284" i="5"/>
  <c r="Q269" i="5"/>
  <c r="T269" i="5" s="1"/>
  <c r="Q268" i="5"/>
  <c r="N536" i="4"/>
  <c r="N534" i="4" s="1"/>
  <c r="U80" i="4"/>
  <c r="K779" i="5"/>
  <c r="S760" i="5"/>
  <c r="L760" i="5"/>
  <c r="O760" i="5" s="1"/>
  <c r="K727" i="5"/>
  <c r="Q714" i="5"/>
  <c r="T714" i="5" s="1"/>
  <c r="R692" i="5"/>
  <c r="R690" i="5" s="1"/>
  <c r="R601" i="5"/>
  <c r="U601" i="5" s="1"/>
  <c r="R602" i="5"/>
  <c r="U602" i="5" s="1"/>
  <c r="U604" i="5"/>
  <c r="N578" i="5"/>
  <c r="N576" i="5" s="1"/>
  <c r="N579" i="5"/>
  <c r="O579" i="5" s="1"/>
  <c r="L557" i="5"/>
  <c r="O557" i="5" s="1"/>
  <c r="M537" i="5"/>
  <c r="P537" i="5" s="1"/>
  <c r="M415" i="5"/>
  <c r="M413" i="5" s="1"/>
  <c r="P418" i="5"/>
  <c r="M416" i="5"/>
  <c r="P416" i="5" s="1"/>
  <c r="S416" i="5"/>
  <c r="K292" i="5"/>
  <c r="I281" i="5"/>
  <c r="K281" i="5" s="1"/>
  <c r="P267" i="5"/>
  <c r="I172" i="5"/>
  <c r="K172" i="5" s="1"/>
  <c r="K183" i="5"/>
  <c r="P178" i="5"/>
  <c r="N176" i="5"/>
  <c r="N96" i="5"/>
  <c r="N94" i="5" s="1"/>
  <c r="N97" i="5"/>
  <c r="L50" i="5"/>
  <c r="O50" i="5" s="1"/>
  <c r="R44" i="5"/>
  <c r="U44" i="5" s="1"/>
  <c r="S394" i="5"/>
  <c r="S392" i="5" s="1"/>
  <c r="S395" i="5"/>
  <c r="M62" i="5"/>
  <c r="M61" i="5"/>
  <c r="M59" i="5" s="1"/>
  <c r="Q493" i="5"/>
  <c r="T493" i="5" s="1"/>
  <c r="T494" i="5"/>
  <c r="K424" i="5"/>
  <c r="L288" i="5"/>
  <c r="O288" i="5" s="1"/>
  <c r="O290" i="5"/>
  <c r="O191" i="5"/>
  <c r="N188" i="5"/>
  <c r="N186" i="5" s="1"/>
  <c r="N189" i="5"/>
  <c r="O189" i="5" s="1"/>
  <c r="K252" i="4"/>
  <c r="M690" i="5"/>
  <c r="P690" i="5" s="1"/>
  <c r="P691" i="5"/>
  <c r="Q601" i="5"/>
  <c r="T601" i="5" s="1"/>
  <c r="T604" i="5"/>
  <c r="M515" i="5"/>
  <c r="P515" i="5" s="1"/>
  <c r="M516" i="5"/>
  <c r="P516" i="5" s="1"/>
  <c r="P518" i="5"/>
  <c r="L419" i="5"/>
  <c r="O419" i="5" s="1"/>
  <c r="L415" i="5"/>
  <c r="L416" i="5"/>
  <c r="O416" i="5" s="1"/>
  <c r="M392" i="5"/>
  <c r="P392" i="5" s="1"/>
  <c r="P393" i="5"/>
  <c r="Q377" i="5"/>
  <c r="T377" i="5" s="1"/>
  <c r="T380" i="5"/>
  <c r="L362" i="5"/>
  <c r="O362" i="5" s="1"/>
  <c r="O364" i="5"/>
  <c r="N359" i="5"/>
  <c r="O359" i="5" s="1"/>
  <c r="P174" i="5"/>
  <c r="K109" i="5"/>
  <c r="M96" i="5"/>
  <c r="P99" i="5"/>
  <c r="M97" i="5"/>
  <c r="P97" i="5" s="1"/>
  <c r="Q74" i="5"/>
  <c r="T74" i="5" s="1"/>
  <c r="Q75" i="5"/>
  <c r="T75" i="5" s="1"/>
  <c r="T77" i="5"/>
  <c r="Q44" i="5"/>
  <c r="T44" i="5" s="1"/>
  <c r="Q618" i="5"/>
  <c r="Q619" i="5"/>
  <c r="T619" i="5" s="1"/>
  <c r="T621" i="5"/>
  <c r="U393" i="5"/>
  <c r="L326" i="5"/>
  <c r="O326" i="5" s="1"/>
  <c r="O328" i="5"/>
  <c r="L322" i="5"/>
  <c r="O322" i="5" s="1"/>
  <c r="M288" i="5"/>
  <c r="P288" i="5" s="1"/>
  <c r="P290" i="5"/>
  <c r="M561" i="5"/>
  <c r="P561" i="5" s="1"/>
  <c r="P563" i="5"/>
  <c r="K433" i="5"/>
  <c r="N141" i="4"/>
  <c r="N139" i="4" s="1"/>
  <c r="Q605" i="5"/>
  <c r="T605" i="5" s="1"/>
  <c r="N536" i="5"/>
  <c r="N534" i="5" s="1"/>
  <c r="N537" i="5"/>
  <c r="L392" i="5"/>
  <c r="O392" i="5" s="1"/>
  <c r="O393" i="5"/>
  <c r="M359" i="5"/>
  <c r="N335" i="5"/>
  <c r="N333" i="5" s="1"/>
  <c r="N336" i="5"/>
  <c r="O336" i="5" s="1"/>
  <c r="R282" i="5"/>
  <c r="U282" i="5" s="1"/>
  <c r="R145" i="5"/>
  <c r="U145" i="5" s="1"/>
  <c r="U147" i="5"/>
  <c r="N495" i="5"/>
  <c r="N493" i="5" s="1"/>
  <c r="N496" i="5"/>
  <c r="U695" i="5"/>
  <c r="R644" i="5"/>
  <c r="R645" i="5"/>
  <c r="U645" i="5" s="1"/>
  <c r="U647" i="5"/>
  <c r="R395" i="5"/>
  <c r="U395" i="5" s="1"/>
  <c r="R394" i="5"/>
  <c r="U394" i="5" s="1"/>
  <c r="U397" i="5"/>
  <c r="O49" i="5"/>
  <c r="L46" i="5"/>
  <c r="R728" i="4"/>
  <c r="P361" i="4"/>
  <c r="P67" i="4"/>
  <c r="O64" i="4"/>
  <c r="K778" i="5"/>
  <c r="K703" i="5"/>
  <c r="M642" i="5"/>
  <c r="P642" i="5" s="1"/>
  <c r="P643" i="5"/>
  <c r="M519" i="5"/>
  <c r="P519" i="5" s="1"/>
  <c r="M419" i="5"/>
  <c r="P419" i="5" s="1"/>
  <c r="P421" i="5"/>
  <c r="J332" i="5"/>
  <c r="K332" i="5" s="1"/>
  <c r="Q160" i="5"/>
  <c r="T160" i="5" s="1"/>
  <c r="T162" i="5"/>
  <c r="I137" i="5"/>
  <c r="K137" i="5" s="1"/>
  <c r="K152" i="5"/>
  <c r="T147" i="5"/>
  <c r="Q145" i="5"/>
  <c r="T145" i="5" s="1"/>
  <c r="Q123" i="5"/>
  <c r="T123" i="5" s="1"/>
  <c r="T125" i="5"/>
  <c r="P64" i="5"/>
  <c r="M495" i="5"/>
  <c r="J458" i="5"/>
  <c r="K458" i="5" s="1"/>
  <c r="Q392" i="5"/>
  <c r="T392" i="5" s="1"/>
  <c r="S356" i="5"/>
  <c r="M323" i="5"/>
  <c r="P323" i="5" s="1"/>
  <c r="T189" i="5"/>
  <c r="S94" i="5"/>
  <c r="Q59" i="5"/>
  <c r="T59" i="5" s="1"/>
  <c r="M601" i="5"/>
  <c r="M599" i="5" s="1"/>
  <c r="N557" i="5"/>
  <c r="N555" i="5" s="1"/>
  <c r="N558" i="5"/>
  <c r="L495" i="5"/>
  <c r="O495" i="5" s="1"/>
  <c r="R496" i="5"/>
  <c r="U496" i="5" s="1"/>
  <c r="K485" i="5"/>
  <c r="R375" i="5"/>
  <c r="K365" i="5"/>
  <c r="K368" i="5"/>
  <c r="L305" i="5"/>
  <c r="L303" i="5" s="1"/>
  <c r="Q306" i="5"/>
  <c r="Q303" i="5"/>
  <c r="M285" i="5"/>
  <c r="N268" i="5"/>
  <c r="N266" i="5" s="1"/>
  <c r="L235" i="5"/>
  <c r="L222" i="5"/>
  <c r="O222" i="5" s="1"/>
  <c r="I213" i="5"/>
  <c r="K213" i="5" s="1"/>
  <c r="M159" i="5"/>
  <c r="M157" i="5" s="1"/>
  <c r="S160" i="5"/>
  <c r="S119" i="5"/>
  <c r="S117" i="5" s="1"/>
  <c r="S120" i="5"/>
  <c r="P80" i="5"/>
  <c r="P49" i="5"/>
  <c r="N19" i="5"/>
  <c r="L642" i="5"/>
  <c r="O642" i="5" s="1"/>
  <c r="U621" i="5"/>
  <c r="M557" i="5"/>
  <c r="P557" i="5" s="1"/>
  <c r="S378" i="5"/>
  <c r="T378" i="5" s="1"/>
  <c r="J343" i="5"/>
  <c r="P269" i="5"/>
  <c r="M268" i="5"/>
  <c r="M266" i="5" s="1"/>
  <c r="J231" i="5"/>
  <c r="J185" i="5" s="1"/>
  <c r="N175" i="5"/>
  <c r="N173" i="5" s="1"/>
  <c r="L159" i="5"/>
  <c r="L157" i="5" s="1"/>
  <c r="S157" i="5"/>
  <c r="M120" i="5"/>
  <c r="P120" i="5" s="1"/>
  <c r="M616" i="5"/>
  <c r="P616" i="5" s="1"/>
  <c r="L601" i="5"/>
  <c r="L599" i="5" s="1"/>
  <c r="M496" i="5"/>
  <c r="P496" i="5" s="1"/>
  <c r="N415" i="5"/>
  <c r="N413" i="5" s="1"/>
  <c r="T397" i="5"/>
  <c r="T393" i="5"/>
  <c r="N392" i="5"/>
  <c r="J374" i="5"/>
  <c r="R378" i="5"/>
  <c r="O338" i="5"/>
  <c r="L306" i="5"/>
  <c r="O306" i="5" s="1"/>
  <c r="L268" i="5"/>
  <c r="O267" i="5"/>
  <c r="M176" i="5"/>
  <c r="L160" i="5"/>
  <c r="T60" i="5"/>
  <c r="T175" i="5"/>
  <c r="Q173" i="5"/>
  <c r="T173" i="5" s="1"/>
  <c r="R692" i="4"/>
  <c r="U692" i="4" s="1"/>
  <c r="R644" i="4"/>
  <c r="U644" i="4" s="1"/>
  <c r="L203" i="4"/>
  <c r="O203" i="4" s="1"/>
  <c r="P162" i="4"/>
  <c r="M78" i="4"/>
  <c r="P78" i="4" s="1"/>
  <c r="K632" i="5"/>
  <c r="K629" i="5"/>
  <c r="K626" i="5"/>
  <c r="K630" i="5"/>
  <c r="O600" i="5"/>
  <c r="R513" i="5"/>
  <c r="U513" i="5" s="1"/>
  <c r="U514" i="5"/>
  <c r="J702" i="4"/>
  <c r="R693" i="4"/>
  <c r="R645" i="4"/>
  <c r="P359" i="4"/>
  <c r="M160" i="4"/>
  <c r="P160" i="4" s="1"/>
  <c r="L141" i="4"/>
  <c r="L139" i="4" s="1"/>
  <c r="N119" i="4"/>
  <c r="N117" i="4" s="1"/>
  <c r="R762" i="5"/>
  <c r="U762" i="5" s="1"/>
  <c r="U765" i="5"/>
  <c r="M760" i="5"/>
  <c r="P760" i="5" s="1"/>
  <c r="N728" i="5"/>
  <c r="R714" i="5"/>
  <c r="U714" i="5" s="1"/>
  <c r="K631" i="5"/>
  <c r="P604" i="5"/>
  <c r="P542" i="5"/>
  <c r="M540" i="5"/>
  <c r="P540" i="5" s="1"/>
  <c r="M536" i="5"/>
  <c r="P536" i="5" s="1"/>
  <c r="J503" i="5"/>
  <c r="J492" i="5" s="1"/>
  <c r="R493" i="5"/>
  <c r="U493" i="5" s="1"/>
  <c r="K457" i="5"/>
  <c r="K441" i="5"/>
  <c r="K432" i="5"/>
  <c r="T418" i="5"/>
  <c r="Q416" i="5"/>
  <c r="P334" i="5"/>
  <c r="N326" i="5"/>
  <c r="N322" i="5"/>
  <c r="N320" i="5" s="1"/>
  <c r="S306" i="5"/>
  <c r="T308" i="5"/>
  <c r="U308" i="5"/>
  <c r="S305" i="5"/>
  <c r="S303" i="5" s="1"/>
  <c r="P304" i="5"/>
  <c r="K230" i="5"/>
  <c r="Q555" i="5"/>
  <c r="T555" i="5" s="1"/>
  <c r="T556" i="5"/>
  <c r="U191" i="4"/>
  <c r="K774" i="5"/>
  <c r="I759" i="5"/>
  <c r="K759" i="5" s="1"/>
  <c r="U415" i="5"/>
  <c r="M306" i="5"/>
  <c r="P306" i="5" s="1"/>
  <c r="P308" i="5"/>
  <c r="P542" i="4"/>
  <c r="O521" i="4"/>
  <c r="O328" i="4"/>
  <c r="L322" i="4"/>
  <c r="O322" i="4" s="1"/>
  <c r="T80" i="4"/>
  <c r="Q78" i="4"/>
  <c r="T78" i="4" s="1"/>
  <c r="M728" i="5"/>
  <c r="P728" i="5" s="1"/>
  <c r="P729" i="5"/>
  <c r="I689" i="5"/>
  <c r="K689" i="5" s="1"/>
  <c r="K707" i="5"/>
  <c r="S693" i="5"/>
  <c r="T695" i="5"/>
  <c r="S692" i="5"/>
  <c r="S645" i="5"/>
  <c r="S644" i="5"/>
  <c r="S642" i="5" s="1"/>
  <c r="T617" i="5"/>
  <c r="O604" i="5"/>
  <c r="N602" i="5"/>
  <c r="P602" i="5" s="1"/>
  <c r="U600" i="5"/>
  <c r="P560" i="5"/>
  <c r="M558" i="5"/>
  <c r="P558" i="5" s="1"/>
  <c r="O542" i="5"/>
  <c r="L540" i="5"/>
  <c r="O540" i="5" s="1"/>
  <c r="L536" i="5"/>
  <c r="P535" i="5"/>
  <c r="I280" i="5"/>
  <c r="K280" i="5" s="1"/>
  <c r="K293" i="5"/>
  <c r="K209" i="5"/>
  <c r="I202" i="5"/>
  <c r="K202" i="5" s="1"/>
  <c r="K346" i="4"/>
  <c r="Q176" i="5"/>
  <c r="T176" i="5" s="1"/>
  <c r="T178" i="5"/>
  <c r="J675" i="4"/>
  <c r="K653" i="4"/>
  <c r="O604" i="4"/>
  <c r="O542" i="4"/>
  <c r="O308" i="4"/>
  <c r="N284" i="4"/>
  <c r="N282" i="4" s="1"/>
  <c r="M192" i="4"/>
  <c r="P192" i="4" s="1"/>
  <c r="O178" i="4"/>
  <c r="K780" i="5"/>
  <c r="S763" i="5"/>
  <c r="R730" i="5"/>
  <c r="R728" i="5" s="1"/>
  <c r="U733" i="5"/>
  <c r="S730" i="5"/>
  <c r="S728" i="5" s="1"/>
  <c r="T729" i="5"/>
  <c r="L728" i="5"/>
  <c r="O728" i="5" s="1"/>
  <c r="N714" i="5"/>
  <c r="J701" i="5"/>
  <c r="O692" i="5"/>
  <c r="O644" i="5"/>
  <c r="P618" i="5"/>
  <c r="T600" i="5"/>
  <c r="P584" i="5"/>
  <c r="M582" i="5"/>
  <c r="P582" i="5" s="1"/>
  <c r="M578" i="5"/>
  <c r="O560" i="5"/>
  <c r="L558" i="5"/>
  <c r="O558" i="5" s="1"/>
  <c r="N515" i="5"/>
  <c r="N513" i="5" s="1"/>
  <c r="P514" i="5"/>
  <c r="K440" i="5"/>
  <c r="I423" i="5"/>
  <c r="T415" i="5"/>
  <c r="Q413" i="5"/>
  <c r="T413" i="5" s="1"/>
  <c r="K386" i="5"/>
  <c r="I374" i="5"/>
  <c r="S375" i="5"/>
  <c r="K369" i="5"/>
  <c r="T267" i="5"/>
  <c r="Q188" i="5"/>
  <c r="Q192" i="5"/>
  <c r="T192" i="5" s="1"/>
  <c r="T194" i="5"/>
  <c r="L358" i="5"/>
  <c r="O361" i="5"/>
  <c r="Q282" i="5"/>
  <c r="T282" i="5" s="1"/>
  <c r="T283" i="5"/>
  <c r="M536" i="4"/>
  <c r="P536" i="4" s="1"/>
  <c r="N377" i="5"/>
  <c r="N375" i="5" s="1"/>
  <c r="N378" i="5"/>
  <c r="P539" i="4"/>
  <c r="P416" i="4"/>
  <c r="R416" i="4"/>
  <c r="U416" i="4" s="1"/>
  <c r="I374" i="4"/>
  <c r="J351" i="4"/>
  <c r="U308" i="4"/>
  <c r="S306" i="4"/>
  <c r="T306" i="4" s="1"/>
  <c r="K292" i="4"/>
  <c r="T191" i="4"/>
  <c r="Q141" i="4"/>
  <c r="L96" i="4"/>
  <c r="L94" i="4" s="1"/>
  <c r="Q730" i="5"/>
  <c r="T733" i="5"/>
  <c r="M714" i="5"/>
  <c r="P714" i="5" s="1"/>
  <c r="L714" i="5"/>
  <c r="O714" i="5" s="1"/>
  <c r="K709" i="5"/>
  <c r="S601" i="5"/>
  <c r="S599" i="5" s="1"/>
  <c r="O584" i="5"/>
  <c r="L582" i="5"/>
  <c r="O582" i="5" s="1"/>
  <c r="L578" i="5"/>
  <c r="P577" i="5"/>
  <c r="R555" i="5"/>
  <c r="U555" i="5" s="1"/>
  <c r="O521" i="5"/>
  <c r="L519" i="5"/>
  <c r="O519" i="5" s="1"/>
  <c r="L515" i="5"/>
  <c r="O515" i="5" s="1"/>
  <c r="O514" i="5"/>
  <c r="T498" i="5"/>
  <c r="Q496" i="5"/>
  <c r="T496" i="5" s="1"/>
  <c r="K456" i="5"/>
  <c r="R413" i="5"/>
  <c r="U413" i="5" s="1"/>
  <c r="K260" i="5"/>
  <c r="U174" i="5"/>
  <c r="P715" i="5"/>
  <c r="P600" i="5"/>
  <c r="U556" i="5"/>
  <c r="O556" i="5"/>
  <c r="K503" i="5"/>
  <c r="U498" i="5"/>
  <c r="O498" i="5"/>
  <c r="U418" i="5"/>
  <c r="O418" i="5"/>
  <c r="U376" i="5"/>
  <c r="P361" i="5"/>
  <c r="U358" i="5"/>
  <c r="Q356" i="5"/>
  <c r="T356" i="5" s="1"/>
  <c r="S333" i="5"/>
  <c r="O334" i="5"/>
  <c r="U321" i="5"/>
  <c r="O287" i="5"/>
  <c r="L284" i="5"/>
  <c r="I242" i="5"/>
  <c r="K249" i="5"/>
  <c r="M192" i="5"/>
  <c r="P192" i="5" s="1"/>
  <c r="P194" i="5"/>
  <c r="R189" i="5"/>
  <c r="U189" i="5" s="1"/>
  <c r="U191" i="5"/>
  <c r="N179" i="5"/>
  <c r="P162" i="5"/>
  <c r="N160" i="5"/>
  <c r="P160" i="5" s="1"/>
  <c r="P338" i="5"/>
  <c r="M336" i="5"/>
  <c r="R333" i="5"/>
  <c r="U333" i="5" s="1"/>
  <c r="U334" i="5"/>
  <c r="R303" i="5"/>
  <c r="U271" i="5"/>
  <c r="I238" i="5"/>
  <c r="K238" i="5" s="1"/>
  <c r="S192" i="5"/>
  <c r="R188" i="5"/>
  <c r="O95" i="5"/>
  <c r="S75" i="5"/>
  <c r="S23" i="5"/>
  <c r="S74" i="5"/>
  <c r="S72" i="5" s="1"/>
  <c r="O77" i="5"/>
  <c r="L75" i="5"/>
  <c r="O75" i="5" s="1"/>
  <c r="L23" i="5"/>
  <c r="L21" i="5" s="1"/>
  <c r="O283" i="5"/>
  <c r="S268" i="5"/>
  <c r="S266" i="5" s="1"/>
  <c r="L243" i="5"/>
  <c r="I195" i="5"/>
  <c r="K195" i="5" s="1"/>
  <c r="K198" i="5"/>
  <c r="L175" i="5"/>
  <c r="L176" i="5"/>
  <c r="R142" i="5"/>
  <c r="U144" i="5"/>
  <c r="R141" i="5"/>
  <c r="U95" i="5"/>
  <c r="Q333" i="5"/>
  <c r="T333" i="5" s="1"/>
  <c r="O325" i="5"/>
  <c r="L323" i="5"/>
  <c r="O323" i="5" s="1"/>
  <c r="Q320" i="5"/>
  <c r="T320" i="5" s="1"/>
  <c r="T321" i="5"/>
  <c r="N305" i="5"/>
  <c r="N303" i="5" s="1"/>
  <c r="L254" i="5"/>
  <c r="O254" i="5" s="1"/>
  <c r="L214" i="5"/>
  <c r="O214" i="5" s="1"/>
  <c r="R175" i="5"/>
  <c r="U175" i="5" s="1"/>
  <c r="R176" i="5"/>
  <c r="U176" i="5" s="1"/>
  <c r="U178" i="5"/>
  <c r="O174" i="5"/>
  <c r="P147" i="5"/>
  <c r="M145" i="5"/>
  <c r="P145" i="5" s="1"/>
  <c r="T144" i="5"/>
  <c r="Q141" i="5"/>
  <c r="Q142" i="5"/>
  <c r="P140" i="5"/>
  <c r="L233" i="5"/>
  <c r="R160" i="5"/>
  <c r="U160" i="5" s="1"/>
  <c r="U77" i="5"/>
  <c r="R23" i="5"/>
  <c r="R74" i="5"/>
  <c r="T271" i="5"/>
  <c r="I265" i="5"/>
  <c r="K265" i="5" s="1"/>
  <c r="P191" i="5"/>
  <c r="M189" i="5"/>
  <c r="Q159" i="5"/>
  <c r="I136" i="5"/>
  <c r="K136" i="5" s="1"/>
  <c r="K154" i="5"/>
  <c r="L123" i="5"/>
  <c r="O123" i="5" s="1"/>
  <c r="L119" i="5"/>
  <c r="N61" i="5"/>
  <c r="N62" i="5"/>
  <c r="M19" i="5"/>
  <c r="S19" i="5"/>
  <c r="U194" i="5"/>
  <c r="O194" i="5"/>
  <c r="O181" i="5"/>
  <c r="O144" i="5"/>
  <c r="R123" i="5"/>
  <c r="U123" i="5" s="1"/>
  <c r="U118" i="5"/>
  <c r="T99" i="5"/>
  <c r="L97" i="5"/>
  <c r="O97" i="5" s="1"/>
  <c r="L96" i="5"/>
  <c r="O96" i="5" s="1"/>
  <c r="I82" i="5"/>
  <c r="N26" i="5"/>
  <c r="N24" i="5" s="1"/>
  <c r="T73" i="5"/>
  <c r="S59" i="5"/>
  <c r="N23" i="5"/>
  <c r="T45" i="5"/>
  <c r="R26" i="5"/>
  <c r="U26" i="5" s="1"/>
  <c r="R120" i="5"/>
  <c r="R119" i="5"/>
  <c r="O64" i="5"/>
  <c r="M26" i="5"/>
  <c r="M50" i="5"/>
  <c r="P50" i="5" s="1"/>
  <c r="M47" i="5"/>
  <c r="P47" i="5" s="1"/>
  <c r="M23" i="5"/>
  <c r="M21" i="5" s="1"/>
  <c r="S44" i="5"/>
  <c r="Q26" i="5"/>
  <c r="M142" i="5"/>
  <c r="M141" i="5"/>
  <c r="Q119" i="5"/>
  <c r="R97" i="5"/>
  <c r="U97" i="5" s="1"/>
  <c r="R96" i="5"/>
  <c r="U96" i="5" s="1"/>
  <c r="S78" i="5"/>
  <c r="S26" i="5"/>
  <c r="S24" i="5" s="1"/>
  <c r="L78" i="5"/>
  <c r="O78" i="5" s="1"/>
  <c r="L62" i="5"/>
  <c r="Q23" i="5"/>
  <c r="L188" i="5"/>
  <c r="L141" i="5"/>
  <c r="K116" i="5"/>
  <c r="Q96" i="5"/>
  <c r="T96" i="5" s="1"/>
  <c r="I83" i="5"/>
  <c r="R78" i="5"/>
  <c r="U78" i="5" s="1"/>
  <c r="N75" i="5"/>
  <c r="R59" i="5"/>
  <c r="U59" i="5" s="1"/>
  <c r="L47" i="5"/>
  <c r="O47" i="5" s="1"/>
  <c r="L26" i="5"/>
  <c r="L24" i="5" s="1"/>
  <c r="R19" i="5"/>
  <c r="L19" i="5"/>
  <c r="Q19" i="5"/>
  <c r="Q728" i="4"/>
  <c r="R714" i="4"/>
  <c r="U714" i="4" s="1"/>
  <c r="L605" i="4"/>
  <c r="O605" i="4" s="1"/>
  <c r="O607" i="4"/>
  <c r="R320" i="4"/>
  <c r="U320" i="4" s="1"/>
  <c r="U321" i="4"/>
  <c r="K314" i="4"/>
  <c r="I302" i="4"/>
  <c r="K302" i="4" s="1"/>
  <c r="M288" i="4"/>
  <c r="P288" i="4" s="1"/>
  <c r="P290" i="4"/>
  <c r="S159" i="4"/>
  <c r="S157" i="4" s="1"/>
  <c r="S160" i="4"/>
  <c r="R760" i="4"/>
  <c r="K726" i="4"/>
  <c r="U621" i="4"/>
  <c r="S618" i="4"/>
  <c r="S619" i="4"/>
  <c r="T619" i="4" s="1"/>
  <c r="I172" i="4"/>
  <c r="K172" i="4" s="1"/>
  <c r="K183" i="4"/>
  <c r="Q96" i="4"/>
  <c r="Q94" i="4" s="1"/>
  <c r="Q97" i="4"/>
  <c r="L74" i="4"/>
  <c r="O74" i="4" s="1"/>
  <c r="L75" i="4"/>
  <c r="O75" i="4" s="1"/>
  <c r="O77" i="4"/>
  <c r="K785" i="4"/>
  <c r="K782" i="4"/>
  <c r="K779" i="4"/>
  <c r="P761" i="4"/>
  <c r="O729" i="4"/>
  <c r="O715" i="4"/>
  <c r="I701" i="4"/>
  <c r="M642" i="4"/>
  <c r="P642" i="4" s="1"/>
  <c r="P643" i="4"/>
  <c r="L515" i="4"/>
  <c r="O515" i="4" s="1"/>
  <c r="L516" i="4"/>
  <c r="O516" i="4" s="1"/>
  <c r="O518" i="4"/>
  <c r="N495" i="4"/>
  <c r="N493" i="4" s="1"/>
  <c r="N496" i="4"/>
  <c r="S74" i="4"/>
  <c r="S72" i="4" s="1"/>
  <c r="S75" i="4"/>
  <c r="S763" i="4"/>
  <c r="O761" i="4"/>
  <c r="U729" i="4"/>
  <c r="N728" i="4"/>
  <c r="N714" i="4"/>
  <c r="Q413" i="4"/>
  <c r="T414" i="4"/>
  <c r="L234" i="4"/>
  <c r="K220" i="4"/>
  <c r="I213" i="4"/>
  <c r="K213" i="4" s="1"/>
  <c r="U194" i="4"/>
  <c r="R192" i="4"/>
  <c r="U192" i="4" s="1"/>
  <c r="K153" i="4"/>
  <c r="I138" i="4"/>
  <c r="K138" i="4" s="1"/>
  <c r="M61" i="4"/>
  <c r="M59" i="4" s="1"/>
  <c r="M62" i="4"/>
  <c r="P62" i="4" s="1"/>
  <c r="P64" i="4"/>
  <c r="T22" i="4"/>
  <c r="Q19" i="4"/>
  <c r="Q693" i="4"/>
  <c r="Q692" i="4"/>
  <c r="T692" i="4" s="1"/>
  <c r="T695" i="4"/>
  <c r="N760" i="4"/>
  <c r="K705" i="4"/>
  <c r="S690" i="4"/>
  <c r="S642" i="4"/>
  <c r="M601" i="4"/>
  <c r="M599" i="4" s="1"/>
  <c r="M602" i="4"/>
  <c r="P604" i="4"/>
  <c r="S602" i="4"/>
  <c r="S513" i="4"/>
  <c r="L359" i="4"/>
  <c r="O359" i="4" s="1"/>
  <c r="O361" i="4"/>
  <c r="M323" i="4"/>
  <c r="P323" i="4" s="1"/>
  <c r="P325" i="4"/>
  <c r="M305" i="4"/>
  <c r="M303" i="4" s="1"/>
  <c r="P311" i="4"/>
  <c r="K251" i="4"/>
  <c r="I240" i="4"/>
  <c r="K240" i="4" s="1"/>
  <c r="I202" i="4"/>
  <c r="K202" i="4" s="1"/>
  <c r="K209" i="4"/>
  <c r="R176" i="4"/>
  <c r="U178" i="4"/>
  <c r="O165" i="4"/>
  <c r="L163" i="4"/>
  <c r="O163" i="4" s="1"/>
  <c r="I92" i="4"/>
  <c r="K92" i="4" s="1"/>
  <c r="K108" i="4"/>
  <c r="M65" i="4"/>
  <c r="P65" i="4" s="1"/>
  <c r="T765" i="4"/>
  <c r="U357" i="4"/>
  <c r="R356" i="4"/>
  <c r="U356" i="4" s="1"/>
  <c r="L159" i="4"/>
  <c r="O159" i="4" s="1"/>
  <c r="P125" i="4"/>
  <c r="M123" i="4"/>
  <c r="P123" i="4" s="1"/>
  <c r="Q44" i="4"/>
  <c r="T44" i="4" s="1"/>
  <c r="T46" i="4"/>
  <c r="S693" i="4"/>
  <c r="J674" i="4"/>
  <c r="T647" i="4"/>
  <c r="Q644" i="4"/>
  <c r="T644" i="4" s="1"/>
  <c r="M616" i="4"/>
  <c r="P616" i="4" s="1"/>
  <c r="Q605" i="4"/>
  <c r="T605" i="4" s="1"/>
  <c r="R601" i="4"/>
  <c r="U601" i="4" s="1"/>
  <c r="L601" i="4"/>
  <c r="L599" i="4" s="1"/>
  <c r="R602" i="4"/>
  <c r="U602" i="4" s="1"/>
  <c r="N578" i="4"/>
  <c r="N576" i="4" s="1"/>
  <c r="N579" i="4"/>
  <c r="L558" i="4"/>
  <c r="O558" i="4" s="1"/>
  <c r="N557" i="4"/>
  <c r="N555" i="4" s="1"/>
  <c r="N537" i="4"/>
  <c r="K369" i="4"/>
  <c r="L335" i="4"/>
  <c r="L305" i="4"/>
  <c r="L303" i="4" s="1"/>
  <c r="R306" i="4"/>
  <c r="N285" i="4"/>
  <c r="S282" i="4"/>
  <c r="M272" i="4"/>
  <c r="P272" i="4" s="1"/>
  <c r="Q232" i="4"/>
  <c r="M188" i="4"/>
  <c r="Q175" i="4"/>
  <c r="T175" i="4" s="1"/>
  <c r="I136" i="4"/>
  <c r="K136" i="4" s="1"/>
  <c r="I93" i="4"/>
  <c r="K93" i="4" s="1"/>
  <c r="R74" i="4"/>
  <c r="U74" i="4" s="1"/>
  <c r="S59" i="4"/>
  <c r="O49" i="4"/>
  <c r="N46" i="4"/>
  <c r="N44" i="4" s="1"/>
  <c r="N19" i="4"/>
  <c r="L616" i="4"/>
  <c r="O616" i="4" s="1"/>
  <c r="P607" i="4"/>
  <c r="Q601" i="4"/>
  <c r="T601" i="4" s="1"/>
  <c r="Q602" i="4"/>
  <c r="T602" i="4" s="1"/>
  <c r="M578" i="4"/>
  <c r="P578" i="4" s="1"/>
  <c r="M579" i="4"/>
  <c r="P579" i="4" s="1"/>
  <c r="P518" i="4"/>
  <c r="Q513" i="4"/>
  <c r="T513" i="4" s="1"/>
  <c r="L416" i="4"/>
  <c r="O416" i="4" s="1"/>
  <c r="Q356" i="4"/>
  <c r="T356" i="4" s="1"/>
  <c r="N335" i="4"/>
  <c r="N333" i="4" s="1"/>
  <c r="N336" i="4"/>
  <c r="Q320" i="4"/>
  <c r="T320" i="4" s="1"/>
  <c r="U305" i="4"/>
  <c r="L306" i="4"/>
  <c r="R303" i="4"/>
  <c r="U303" i="4" s="1"/>
  <c r="L272" i="4"/>
  <c r="O272" i="4" s="1"/>
  <c r="S268" i="4"/>
  <c r="U268" i="4" s="1"/>
  <c r="K260" i="4"/>
  <c r="M189" i="4"/>
  <c r="R159" i="4"/>
  <c r="U159" i="4" s="1"/>
  <c r="P144" i="4"/>
  <c r="N142" i="4"/>
  <c r="M119" i="4"/>
  <c r="M96" i="4"/>
  <c r="M94" i="4" s="1"/>
  <c r="Q74" i="4"/>
  <c r="Q72" i="4" s="1"/>
  <c r="T72" i="4" s="1"/>
  <c r="P47" i="4"/>
  <c r="N602" i="4"/>
  <c r="L537" i="4"/>
  <c r="O537" i="4" s="1"/>
  <c r="M516" i="4"/>
  <c r="P516" i="4" s="1"/>
  <c r="M496" i="4"/>
  <c r="P496" i="4" s="1"/>
  <c r="K386" i="4"/>
  <c r="P380" i="4"/>
  <c r="N378" i="4"/>
  <c r="K371" i="4"/>
  <c r="M335" i="4"/>
  <c r="M333" i="4" s="1"/>
  <c r="M336" i="4"/>
  <c r="T269" i="4"/>
  <c r="S188" i="4"/>
  <c r="S186" i="4" s="1"/>
  <c r="M179" i="4"/>
  <c r="P179" i="4" s="1"/>
  <c r="P165" i="4"/>
  <c r="M142" i="4"/>
  <c r="S119" i="4"/>
  <c r="S117" i="4" s="1"/>
  <c r="N120" i="4"/>
  <c r="R618" i="4"/>
  <c r="R616" i="4" s="1"/>
  <c r="L582" i="4"/>
  <c r="O582" i="4" s="1"/>
  <c r="R555" i="4"/>
  <c r="U555" i="4" s="1"/>
  <c r="J457" i="4"/>
  <c r="J456" i="4" s="1"/>
  <c r="K456" i="4" s="1"/>
  <c r="S394" i="4"/>
  <c r="S392" i="4" s="1"/>
  <c r="M378" i="4"/>
  <c r="N358" i="4"/>
  <c r="N356" i="4" s="1"/>
  <c r="P341" i="4"/>
  <c r="O311" i="4"/>
  <c r="Q305" i="4"/>
  <c r="T305" i="4" s="1"/>
  <c r="K276" i="4"/>
  <c r="N232" i="4"/>
  <c r="Q235" i="4"/>
  <c r="R188" i="4"/>
  <c r="S176" i="4"/>
  <c r="T176" i="4" s="1"/>
  <c r="N159" i="4"/>
  <c r="N157" i="4" s="1"/>
  <c r="U120" i="4"/>
  <c r="M120" i="4"/>
  <c r="P120" i="4" s="1"/>
  <c r="N96" i="4"/>
  <c r="N94" i="4" s="1"/>
  <c r="L46" i="4"/>
  <c r="S645" i="4"/>
  <c r="U604" i="4"/>
  <c r="N601" i="4"/>
  <c r="N599" i="4" s="1"/>
  <c r="L602" i="4"/>
  <c r="R576" i="4"/>
  <c r="U576" i="4" s="1"/>
  <c r="R534" i="4"/>
  <c r="U534" i="4" s="1"/>
  <c r="K458" i="4"/>
  <c r="S377" i="4"/>
  <c r="S375" i="4" s="1"/>
  <c r="M358" i="4"/>
  <c r="M356" i="4" s="1"/>
  <c r="O341" i="4"/>
  <c r="L323" i="4"/>
  <c r="O323" i="4" s="1"/>
  <c r="L222" i="4"/>
  <c r="O222" i="4" s="1"/>
  <c r="I221" i="4"/>
  <c r="K221" i="4" s="1"/>
  <c r="T189" i="4"/>
  <c r="M159" i="4"/>
  <c r="M157" i="4" s="1"/>
  <c r="L120" i="4"/>
  <c r="O120" i="4" s="1"/>
  <c r="T77" i="4"/>
  <c r="M74" i="4"/>
  <c r="M72" i="4" s="1"/>
  <c r="N61" i="4"/>
  <c r="N59" i="4" s="1"/>
  <c r="K673" i="4"/>
  <c r="T617" i="4"/>
  <c r="K780" i="4"/>
  <c r="L690" i="4"/>
  <c r="O690" i="4" s="1"/>
  <c r="L642" i="4"/>
  <c r="O642" i="4" s="1"/>
  <c r="Q760" i="4"/>
  <c r="I689" i="4"/>
  <c r="K689" i="4" s="1"/>
  <c r="K707" i="4"/>
  <c r="S731" i="4"/>
  <c r="T733" i="4"/>
  <c r="S730" i="4"/>
  <c r="T730" i="4" s="1"/>
  <c r="K629" i="4"/>
  <c r="K626" i="4"/>
  <c r="K630" i="4"/>
  <c r="K631" i="4"/>
  <c r="K632" i="4"/>
  <c r="K774" i="4"/>
  <c r="I759" i="4"/>
  <c r="K759" i="4" s="1"/>
  <c r="K709" i="4"/>
  <c r="S493" i="4"/>
  <c r="J503" i="4"/>
  <c r="J492" i="4" s="1"/>
  <c r="P414" i="4"/>
  <c r="S97" i="4"/>
  <c r="S96" i="4"/>
  <c r="T99" i="4"/>
  <c r="S23" i="4"/>
  <c r="S21" i="4" s="1"/>
  <c r="Q496" i="4"/>
  <c r="T496" i="4" s="1"/>
  <c r="M495" i="4"/>
  <c r="O414" i="4"/>
  <c r="U393" i="4"/>
  <c r="K365" i="4"/>
  <c r="L358" i="4"/>
  <c r="K281" i="4"/>
  <c r="L214" i="4"/>
  <c r="O214" i="4" s="1"/>
  <c r="O187" i="4"/>
  <c r="U99" i="4"/>
  <c r="R97" i="4"/>
  <c r="P60" i="4"/>
  <c r="M415" i="4"/>
  <c r="M413" i="4" s="1"/>
  <c r="P191" i="4"/>
  <c r="N188" i="4"/>
  <c r="N186" i="4" s="1"/>
  <c r="K703" i="4"/>
  <c r="T691" i="4"/>
  <c r="T643" i="4"/>
  <c r="T621" i="4"/>
  <c r="Q618" i="4"/>
  <c r="U617" i="4"/>
  <c r="O617" i="4"/>
  <c r="T604" i="4"/>
  <c r="P584" i="4"/>
  <c r="L579" i="4"/>
  <c r="O579" i="4" s="1"/>
  <c r="M561" i="4"/>
  <c r="P561" i="4" s="1"/>
  <c r="Q555" i="4"/>
  <c r="T555" i="4" s="1"/>
  <c r="L536" i="4"/>
  <c r="O536" i="4" s="1"/>
  <c r="N515" i="4"/>
  <c r="N513" i="4" s="1"/>
  <c r="M499" i="4"/>
  <c r="P499" i="4" s="1"/>
  <c r="O498" i="4"/>
  <c r="L495" i="4"/>
  <c r="O495" i="4" s="1"/>
  <c r="I423" i="4"/>
  <c r="S415" i="4"/>
  <c r="S413" i="4" s="1"/>
  <c r="R395" i="4"/>
  <c r="U395" i="4" s="1"/>
  <c r="R394" i="4"/>
  <c r="U394" i="4" s="1"/>
  <c r="U397" i="4"/>
  <c r="O383" i="4"/>
  <c r="L381" i="4"/>
  <c r="O381" i="4" s="1"/>
  <c r="M381" i="4"/>
  <c r="P381" i="4" s="1"/>
  <c r="O380" i="4"/>
  <c r="L378" i="4"/>
  <c r="R375" i="4"/>
  <c r="M322" i="4"/>
  <c r="N306" i="4"/>
  <c r="P308" i="4"/>
  <c r="N305" i="4"/>
  <c r="P283" i="4"/>
  <c r="R266" i="4"/>
  <c r="K198" i="4"/>
  <c r="T162" i="4"/>
  <c r="Q160" i="4"/>
  <c r="T160" i="4" s="1"/>
  <c r="Q159" i="4"/>
  <c r="T159" i="4" s="1"/>
  <c r="S19" i="4"/>
  <c r="J332" i="4"/>
  <c r="K332" i="4" s="1"/>
  <c r="J343" i="4"/>
  <c r="M557" i="4"/>
  <c r="P581" i="4"/>
  <c r="Q576" i="4"/>
  <c r="T576" i="4" s="1"/>
  <c r="L561" i="4"/>
  <c r="O561" i="4" s="1"/>
  <c r="U535" i="4"/>
  <c r="O535" i="4"/>
  <c r="T514" i="4"/>
  <c r="U498" i="4"/>
  <c r="R495" i="4"/>
  <c r="U495" i="4" s="1"/>
  <c r="Q493" i="4"/>
  <c r="T493" i="4" s="1"/>
  <c r="P418" i="4"/>
  <c r="R413" i="4"/>
  <c r="Q394" i="4"/>
  <c r="T397" i="4"/>
  <c r="N392" i="4"/>
  <c r="Q375" i="4"/>
  <c r="T376" i="4"/>
  <c r="O338" i="4"/>
  <c r="L336" i="4"/>
  <c r="R333" i="4"/>
  <c r="U333" i="4" s="1"/>
  <c r="K330" i="4"/>
  <c r="P328" i="4"/>
  <c r="M326" i="4"/>
  <c r="P326" i="4" s="1"/>
  <c r="P287" i="4"/>
  <c r="M284" i="4"/>
  <c r="M285" i="4"/>
  <c r="L243" i="4"/>
  <c r="K230" i="4"/>
  <c r="N189" i="4"/>
  <c r="U187" i="4"/>
  <c r="N175" i="4"/>
  <c r="N173" i="4" s="1"/>
  <c r="N176" i="4"/>
  <c r="P176" i="4" s="1"/>
  <c r="P147" i="4"/>
  <c r="M141" i="4"/>
  <c r="M145" i="4"/>
  <c r="P145" i="4" s="1"/>
  <c r="M26" i="4"/>
  <c r="M24" i="4" s="1"/>
  <c r="O67" i="4"/>
  <c r="L65" i="4"/>
  <c r="O65" i="4" s="1"/>
  <c r="L61" i="4"/>
  <c r="U22" i="4"/>
  <c r="R19" i="4"/>
  <c r="S762" i="4"/>
  <c r="S760" i="4" s="1"/>
  <c r="U733" i="4"/>
  <c r="P729" i="4"/>
  <c r="P715" i="4"/>
  <c r="P600" i="4"/>
  <c r="L578" i="4"/>
  <c r="L557" i="4"/>
  <c r="T535" i="4"/>
  <c r="P521" i="4"/>
  <c r="O501" i="4"/>
  <c r="T498" i="4"/>
  <c r="I492" i="4"/>
  <c r="K492" i="4" s="1"/>
  <c r="U418" i="4"/>
  <c r="O418" i="4"/>
  <c r="M392" i="4"/>
  <c r="P392" i="4" s="1"/>
  <c r="P393" i="4"/>
  <c r="U380" i="4"/>
  <c r="R378" i="4"/>
  <c r="U378" i="4" s="1"/>
  <c r="M377" i="4"/>
  <c r="L285" i="4"/>
  <c r="L284" i="4"/>
  <c r="O287" i="4"/>
  <c r="Q282" i="4"/>
  <c r="T282" i="4" s="1"/>
  <c r="K249" i="4"/>
  <c r="I238" i="4"/>
  <c r="K238" i="4" s="1"/>
  <c r="Q192" i="4"/>
  <c r="T192" i="4" s="1"/>
  <c r="T125" i="4"/>
  <c r="Q123" i="4"/>
  <c r="T123" i="4" s="1"/>
  <c r="Q119" i="4"/>
  <c r="O364" i="4"/>
  <c r="L362" i="4"/>
  <c r="O362" i="4" s="1"/>
  <c r="S232" i="4"/>
  <c r="U175" i="4"/>
  <c r="R173" i="4"/>
  <c r="U173" i="4" s="1"/>
  <c r="T418" i="4"/>
  <c r="N415" i="4"/>
  <c r="L392" i="4"/>
  <c r="O392" i="4" s="1"/>
  <c r="O393" i="4"/>
  <c r="T380" i="4"/>
  <c r="Q378" i="4"/>
  <c r="T378" i="4" s="1"/>
  <c r="P364" i="4"/>
  <c r="M362" i="4"/>
  <c r="P362" i="4" s="1"/>
  <c r="T335" i="4"/>
  <c r="Q333" i="4"/>
  <c r="T333" i="4" s="1"/>
  <c r="P304" i="4"/>
  <c r="L288" i="4"/>
  <c r="O288" i="4" s="1"/>
  <c r="N268" i="4"/>
  <c r="N266" i="4" s="1"/>
  <c r="N269" i="4"/>
  <c r="P269" i="4" s="1"/>
  <c r="I231" i="4"/>
  <c r="K231" i="4" s="1"/>
  <c r="K242" i="4"/>
  <c r="O191" i="4"/>
  <c r="Q188" i="4"/>
  <c r="L179" i="4"/>
  <c r="O179" i="4" s="1"/>
  <c r="O181" i="4"/>
  <c r="S141" i="4"/>
  <c r="S139" i="4" s="1"/>
  <c r="S142" i="4"/>
  <c r="P338" i="4"/>
  <c r="O325" i="4"/>
  <c r="K293" i="4"/>
  <c r="R282" i="4"/>
  <c r="U282" i="4" s="1"/>
  <c r="P274" i="4"/>
  <c r="T271" i="4"/>
  <c r="Q268" i="4"/>
  <c r="O194" i="4"/>
  <c r="T178" i="4"/>
  <c r="P178" i="4"/>
  <c r="L175" i="4"/>
  <c r="T144" i="4"/>
  <c r="Q142" i="4"/>
  <c r="T140" i="4"/>
  <c r="N26" i="4"/>
  <c r="N24" i="4" s="1"/>
  <c r="P25" i="4"/>
  <c r="N322" i="4"/>
  <c r="N320" i="4" s="1"/>
  <c r="O271" i="4"/>
  <c r="L188" i="4"/>
  <c r="S26" i="4"/>
  <c r="S24" i="4" s="1"/>
  <c r="U122" i="4"/>
  <c r="R119" i="4"/>
  <c r="N75" i="4"/>
  <c r="P75" i="4" s="1"/>
  <c r="N74" i="4"/>
  <c r="P77" i="4"/>
  <c r="P45" i="4"/>
  <c r="O25" i="4"/>
  <c r="M309" i="4"/>
  <c r="P309" i="4" s="1"/>
  <c r="U271" i="4"/>
  <c r="L269" i="4"/>
  <c r="L235" i="4"/>
  <c r="R189" i="4"/>
  <c r="U189" i="4" s="1"/>
  <c r="O162" i="4"/>
  <c r="L160" i="4"/>
  <c r="O160" i="4" s="1"/>
  <c r="U147" i="4"/>
  <c r="R145" i="4"/>
  <c r="U145" i="4" s="1"/>
  <c r="I116" i="4"/>
  <c r="K116" i="4" s="1"/>
  <c r="K127" i="4"/>
  <c r="T95" i="4"/>
  <c r="R26" i="4"/>
  <c r="O45" i="4"/>
  <c r="T19" i="4"/>
  <c r="R269" i="4"/>
  <c r="U269" i="4" s="1"/>
  <c r="L254" i="4"/>
  <c r="O254" i="4" s="1"/>
  <c r="O144" i="4"/>
  <c r="L142" i="4"/>
  <c r="O125" i="4"/>
  <c r="L123" i="4"/>
  <c r="O123" i="4" s="1"/>
  <c r="Q26" i="4"/>
  <c r="O73" i="4"/>
  <c r="L19" i="4"/>
  <c r="P19" i="4"/>
  <c r="R160" i="4"/>
  <c r="U160" i="4" s="1"/>
  <c r="T147" i="4"/>
  <c r="Q145" i="4"/>
  <c r="T145" i="4" s="1"/>
  <c r="I82" i="4"/>
  <c r="P49" i="4"/>
  <c r="R44" i="4"/>
  <c r="U44" i="4" s="1"/>
  <c r="P102" i="4"/>
  <c r="M100" i="4"/>
  <c r="P100" i="4" s="1"/>
  <c r="I83" i="4"/>
  <c r="R59" i="4"/>
  <c r="U59" i="4" s="1"/>
  <c r="U25" i="4"/>
  <c r="O102" i="4"/>
  <c r="L100" i="4"/>
  <c r="O100" i="4" s="1"/>
  <c r="P99" i="4"/>
  <c r="M97" i="4"/>
  <c r="P97" i="4" s="1"/>
  <c r="O95" i="4"/>
  <c r="O47" i="4"/>
  <c r="N23" i="4"/>
  <c r="P22" i="4"/>
  <c r="M175" i="4"/>
  <c r="O147" i="4"/>
  <c r="L145" i="4"/>
  <c r="O145" i="4" s="1"/>
  <c r="U144" i="4"/>
  <c r="R142" i="4"/>
  <c r="R123" i="4"/>
  <c r="U123" i="4" s="1"/>
  <c r="T122" i="4"/>
  <c r="Q120" i="4"/>
  <c r="T120" i="4" s="1"/>
  <c r="L119" i="4"/>
  <c r="O99" i="4"/>
  <c r="L97" i="4"/>
  <c r="O97" i="4" s="1"/>
  <c r="R94" i="4"/>
  <c r="U95" i="4"/>
  <c r="P73" i="4"/>
  <c r="O62" i="4"/>
  <c r="O52" i="4"/>
  <c r="L26" i="4"/>
  <c r="L50" i="4"/>
  <c r="O50" i="4" s="1"/>
  <c r="M50" i="4"/>
  <c r="P50" i="4" s="1"/>
  <c r="M46" i="4"/>
  <c r="M23" i="4"/>
  <c r="O22" i="4"/>
  <c r="I137" i="4"/>
  <c r="K137" i="4" s="1"/>
  <c r="K85" i="4"/>
  <c r="R23" i="4"/>
  <c r="R21" i="4" s="1"/>
  <c r="L23" i="4"/>
  <c r="L21" i="4" s="1"/>
  <c r="Q23" i="4"/>
  <c r="L22" i="3"/>
  <c r="L19" i="3" s="1"/>
  <c r="M22" i="3"/>
  <c r="N22" i="3"/>
  <c r="Q22" i="3"/>
  <c r="R22" i="3"/>
  <c r="S22" i="3"/>
  <c r="S19" i="3" s="1"/>
  <c r="L25" i="3"/>
  <c r="M25" i="3"/>
  <c r="N25" i="3"/>
  <c r="Q25" i="3"/>
  <c r="T25" i="3" s="1"/>
  <c r="R25" i="3"/>
  <c r="S25" i="3"/>
  <c r="R44" i="3"/>
  <c r="U44" i="3" s="1"/>
  <c r="L45" i="3"/>
  <c r="O45" i="3" s="1"/>
  <c r="M45" i="3"/>
  <c r="N45" i="3"/>
  <c r="Q45" i="3"/>
  <c r="R45" i="3"/>
  <c r="U45" i="3" s="1"/>
  <c r="S45" i="3"/>
  <c r="S44" i="3" s="1"/>
  <c r="T45" i="3"/>
  <c r="Q46" i="3"/>
  <c r="T46" i="3" s="1"/>
  <c r="R46" i="3"/>
  <c r="S46" i="3"/>
  <c r="U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R50" i="3"/>
  <c r="U50" i="3" s="1"/>
  <c r="S50" i="3"/>
  <c r="T50" i="3"/>
  <c r="O51" i="3"/>
  <c r="P51" i="3"/>
  <c r="T51" i="3"/>
  <c r="U51" i="3"/>
  <c r="L52" i="3"/>
  <c r="M52" i="3"/>
  <c r="N52" i="3"/>
  <c r="N50" i="3" s="1"/>
  <c r="T52" i="3"/>
  <c r="U52" i="3"/>
  <c r="Q59" i="3"/>
  <c r="T59" i="3" s="1"/>
  <c r="R59" i="3"/>
  <c r="U59" i="3" s="1"/>
  <c r="L60" i="3"/>
  <c r="O60" i="3" s="1"/>
  <c r="M60" i="3"/>
  <c r="N60" i="3"/>
  <c r="Q60" i="3"/>
  <c r="T60" i="3" s="1"/>
  <c r="R60" i="3"/>
  <c r="U60" i="3" s="1"/>
  <c r="S60" i="3"/>
  <c r="S59" i="3" s="1"/>
  <c r="Q61" i="3"/>
  <c r="R61" i="3"/>
  <c r="S61" i="3"/>
  <c r="T61" i="3"/>
  <c r="U61" i="3"/>
  <c r="Q62" i="3"/>
  <c r="T62" i="3" s="1"/>
  <c r="R62" i="3"/>
  <c r="U62" i="3" s="1"/>
  <c r="S62" i="3"/>
  <c r="O63" i="3"/>
  <c r="P63" i="3"/>
  <c r="T63" i="3"/>
  <c r="U63" i="3"/>
  <c r="L64" i="3"/>
  <c r="L62" i="3" s="1"/>
  <c r="M64" i="3"/>
  <c r="M62" i="3" s="1"/>
  <c r="N64" i="3"/>
  <c r="T64" i="3"/>
  <c r="U64" i="3"/>
  <c r="Q65" i="3"/>
  <c r="T65" i="3" s="1"/>
  <c r="R65" i="3"/>
  <c r="S65" i="3"/>
  <c r="U65" i="3"/>
  <c r="O66" i="3"/>
  <c r="P66" i="3"/>
  <c r="T66" i="3"/>
  <c r="U66" i="3"/>
  <c r="L67" i="3"/>
  <c r="M67" i="3"/>
  <c r="N67" i="3"/>
  <c r="N65" i="3" s="1"/>
  <c r="T67" i="3"/>
  <c r="U67" i="3"/>
  <c r="L73" i="3"/>
  <c r="O73" i="3" s="1"/>
  <c r="M73" i="3"/>
  <c r="N73" i="3"/>
  <c r="Q73" i="3"/>
  <c r="R73" i="3"/>
  <c r="U73" i="3" s="1"/>
  <c r="S73" i="3"/>
  <c r="T73" i="3"/>
  <c r="O76" i="3"/>
  <c r="P76" i="3"/>
  <c r="T76" i="3"/>
  <c r="U76" i="3"/>
  <c r="L77" i="3"/>
  <c r="L75" i="3" s="1"/>
  <c r="M77" i="3"/>
  <c r="M75" i="3" s="1"/>
  <c r="N77" i="3"/>
  <c r="Q77" i="3"/>
  <c r="Q75" i="3" s="1"/>
  <c r="R77" i="3"/>
  <c r="R75" i="3" s="1"/>
  <c r="S77" i="3"/>
  <c r="S75" i="3" s="1"/>
  <c r="O79" i="3"/>
  <c r="P79" i="3"/>
  <c r="T79" i="3"/>
  <c r="U79" i="3"/>
  <c r="L80" i="3"/>
  <c r="O80" i="3" s="1"/>
  <c r="M80" i="3"/>
  <c r="M78" i="3" s="1"/>
  <c r="P78" i="3" s="1"/>
  <c r="N80" i="3"/>
  <c r="N78" i="3" s="1"/>
  <c r="Q80" i="3"/>
  <c r="Q78" i="3" s="1"/>
  <c r="R80" i="3"/>
  <c r="R78" i="3" s="1"/>
  <c r="S80" i="3"/>
  <c r="S78" i="3" s="1"/>
  <c r="J82" i="3"/>
  <c r="J70" i="3" s="1"/>
  <c r="J83" i="3"/>
  <c r="J71" i="3" s="1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O98" i="3"/>
  <c r="P98" i="3"/>
  <c r="T98" i="3"/>
  <c r="U98" i="3"/>
  <c r="L99" i="3"/>
  <c r="O99" i="3" s="1"/>
  <c r="M99" i="3"/>
  <c r="N99" i="3"/>
  <c r="N97" i="3" s="1"/>
  <c r="Q99" i="3"/>
  <c r="Q97" i="3" s="1"/>
  <c r="T97" i="3" s="1"/>
  <c r="R99" i="3"/>
  <c r="U99" i="3" s="1"/>
  <c r="S99" i="3"/>
  <c r="Q100" i="3"/>
  <c r="R100" i="3"/>
  <c r="S100" i="3"/>
  <c r="T100" i="3"/>
  <c r="U100" i="3"/>
  <c r="O101" i="3"/>
  <c r="P101" i="3"/>
  <c r="T101" i="3"/>
  <c r="U101" i="3"/>
  <c r="L102" i="3"/>
  <c r="O102" i="3" s="1"/>
  <c r="M102" i="3"/>
  <c r="N102" i="3"/>
  <c r="N100" i="3" s="1"/>
  <c r="T102" i="3"/>
  <c r="U102" i="3"/>
  <c r="I108" i="3"/>
  <c r="I109" i="3"/>
  <c r="I93" i="3" s="1"/>
  <c r="K93" i="3" s="1"/>
  <c r="I114" i="3"/>
  <c r="K114" i="3" s="1"/>
  <c r="J116" i="3"/>
  <c r="L118" i="3"/>
  <c r="M118" i="3"/>
  <c r="P118" i="3" s="1"/>
  <c r="N118" i="3"/>
  <c r="Q118" i="3"/>
  <c r="R118" i="3"/>
  <c r="S118" i="3"/>
  <c r="O121" i="3"/>
  <c r="P121" i="3"/>
  <c r="T121" i="3"/>
  <c r="U121" i="3"/>
  <c r="L122" i="3"/>
  <c r="O122" i="3" s="1"/>
  <c r="M122" i="3"/>
  <c r="N122" i="3"/>
  <c r="N120" i="3" s="1"/>
  <c r="Q122" i="3"/>
  <c r="Q120" i="3" s="1"/>
  <c r="R122" i="3"/>
  <c r="S122" i="3"/>
  <c r="O124" i="3"/>
  <c r="P124" i="3"/>
  <c r="T124" i="3"/>
  <c r="U124" i="3"/>
  <c r="L125" i="3"/>
  <c r="O125" i="3" s="1"/>
  <c r="M125" i="3"/>
  <c r="N125" i="3"/>
  <c r="Q125" i="3"/>
  <c r="Q123" i="3" s="1"/>
  <c r="T123" i="3" s="1"/>
  <c r="R125" i="3"/>
  <c r="R123" i="3" s="1"/>
  <c r="U123" i="3" s="1"/>
  <c r="S125" i="3"/>
  <c r="S123" i="3" s="1"/>
  <c r="I127" i="3"/>
  <c r="K127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N140" i="3"/>
  <c r="Q140" i="3"/>
  <c r="T140" i="3" s="1"/>
  <c r="R140" i="3"/>
  <c r="S140" i="3"/>
  <c r="O143" i="3"/>
  <c r="P143" i="3"/>
  <c r="T143" i="3"/>
  <c r="U143" i="3"/>
  <c r="L144" i="3"/>
  <c r="L142" i="3" s="1"/>
  <c r="M144" i="3"/>
  <c r="M142" i="3" s="1"/>
  <c r="N144" i="3"/>
  <c r="N142" i="3" s="1"/>
  <c r="Q144" i="3"/>
  <c r="R144" i="3"/>
  <c r="S144" i="3"/>
  <c r="S142" i="3" s="1"/>
  <c r="O146" i="3"/>
  <c r="P146" i="3"/>
  <c r="T146" i="3"/>
  <c r="U146" i="3"/>
  <c r="L147" i="3"/>
  <c r="M147" i="3"/>
  <c r="P147" i="3" s="1"/>
  <c r="N147" i="3"/>
  <c r="N145" i="3" s="1"/>
  <c r="Q147" i="3"/>
  <c r="Q145" i="3" s="1"/>
  <c r="R147" i="3"/>
  <c r="R145" i="3" s="1"/>
  <c r="S147" i="3"/>
  <c r="I150" i="3"/>
  <c r="K150" i="3" s="1"/>
  <c r="I151" i="3"/>
  <c r="K151" i="3" s="1"/>
  <c r="I152" i="3"/>
  <c r="I153" i="3"/>
  <c r="I138" i="3" s="1"/>
  <c r="K138" i="3" s="1"/>
  <c r="I154" i="3"/>
  <c r="I136" i="3" s="1"/>
  <c r="J156" i="3"/>
  <c r="L158" i="3"/>
  <c r="M158" i="3"/>
  <c r="P158" i="3" s="1"/>
  <c r="N158" i="3"/>
  <c r="Q158" i="3"/>
  <c r="R158" i="3"/>
  <c r="S158" i="3"/>
  <c r="O161" i="3"/>
  <c r="P161" i="3"/>
  <c r="T161" i="3"/>
  <c r="U161" i="3"/>
  <c r="L162" i="3"/>
  <c r="M162" i="3"/>
  <c r="N162" i="3"/>
  <c r="N160" i="3" s="1"/>
  <c r="Q162" i="3"/>
  <c r="R162" i="3"/>
  <c r="U162" i="3" s="1"/>
  <c r="S162" i="3"/>
  <c r="S160" i="3" s="1"/>
  <c r="Q163" i="3"/>
  <c r="R163" i="3"/>
  <c r="U163" i="3" s="1"/>
  <c r="S163" i="3"/>
  <c r="T163" i="3"/>
  <c r="O164" i="3"/>
  <c r="P164" i="3"/>
  <c r="T164" i="3"/>
  <c r="U164" i="3"/>
  <c r="L165" i="3"/>
  <c r="O165" i="3" s="1"/>
  <c r="M165" i="3"/>
  <c r="N165" i="3"/>
  <c r="N163" i="3" s="1"/>
  <c r="T165" i="3"/>
  <c r="U165" i="3"/>
  <c r="I167" i="3"/>
  <c r="J172" i="3"/>
  <c r="L174" i="3"/>
  <c r="M174" i="3"/>
  <c r="N174" i="3"/>
  <c r="P174" i="3"/>
  <c r="Q174" i="3"/>
  <c r="R174" i="3"/>
  <c r="S174" i="3"/>
  <c r="O177" i="3"/>
  <c r="P177" i="3"/>
  <c r="T177" i="3"/>
  <c r="U177" i="3"/>
  <c r="L178" i="3"/>
  <c r="M178" i="3"/>
  <c r="N178" i="3"/>
  <c r="Q178" i="3"/>
  <c r="R178" i="3"/>
  <c r="S178" i="3"/>
  <c r="Q179" i="3"/>
  <c r="T179" i="3" s="1"/>
  <c r="R179" i="3"/>
  <c r="U179" i="3" s="1"/>
  <c r="S179" i="3"/>
  <c r="O180" i="3"/>
  <c r="P180" i="3"/>
  <c r="T180" i="3"/>
  <c r="U180" i="3"/>
  <c r="L181" i="3"/>
  <c r="M181" i="3"/>
  <c r="N181" i="3"/>
  <c r="N179" i="3" s="1"/>
  <c r="T181" i="3"/>
  <c r="U181" i="3"/>
  <c r="I183" i="3"/>
  <c r="K184" i="3"/>
  <c r="L187" i="3"/>
  <c r="M187" i="3"/>
  <c r="N187" i="3"/>
  <c r="O187" i="3"/>
  <c r="Q187" i="3"/>
  <c r="R187" i="3"/>
  <c r="S187" i="3"/>
  <c r="T187" i="3"/>
  <c r="U187" i="3"/>
  <c r="O190" i="3"/>
  <c r="P190" i="3"/>
  <c r="T190" i="3"/>
  <c r="U190" i="3"/>
  <c r="L191" i="3"/>
  <c r="M191" i="3"/>
  <c r="N191" i="3"/>
  <c r="Q191" i="3"/>
  <c r="R191" i="3"/>
  <c r="S191" i="3"/>
  <c r="O193" i="3"/>
  <c r="P193" i="3"/>
  <c r="T193" i="3"/>
  <c r="U193" i="3"/>
  <c r="L194" i="3"/>
  <c r="M194" i="3"/>
  <c r="M192" i="3" s="1"/>
  <c r="P192" i="3" s="1"/>
  <c r="N194" i="3"/>
  <c r="N192" i="3" s="1"/>
  <c r="Q194" i="3"/>
  <c r="T194" i="3" s="1"/>
  <c r="R194" i="3"/>
  <c r="U194" i="3" s="1"/>
  <c r="S194" i="3"/>
  <c r="S192" i="3" s="1"/>
  <c r="J195" i="3"/>
  <c r="L196" i="3"/>
  <c r="O196" i="3" s="1"/>
  <c r="P196" i="3"/>
  <c r="I198" i="3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K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K230" i="3" s="1"/>
  <c r="N233" i="3"/>
  <c r="N234" i="3"/>
  <c r="N235" i="3"/>
  <c r="N236" i="3"/>
  <c r="J238" i="3"/>
  <c r="I240" i="3"/>
  <c r="J240" i="3"/>
  <c r="K240" i="3"/>
  <c r="I241" i="3"/>
  <c r="K241" i="3" s="1"/>
  <c r="J241" i="3"/>
  <c r="J242" i="3"/>
  <c r="N243" i="3"/>
  <c r="N232" i="3" s="1"/>
  <c r="P243" i="3"/>
  <c r="L244" i="3"/>
  <c r="L245" i="3"/>
  <c r="L246" i="3"/>
  <c r="L247" i="3"/>
  <c r="I249" i="3"/>
  <c r="I242" i="3" s="1"/>
  <c r="K242" i="3" s="1"/>
  <c r="K251" i="3"/>
  <c r="K252" i="3"/>
  <c r="J253" i="3"/>
  <c r="N254" i="3"/>
  <c r="P254" i="3"/>
  <c r="L255" i="3"/>
  <c r="L256" i="3"/>
  <c r="L257" i="3"/>
  <c r="L258" i="3"/>
  <c r="I260" i="3"/>
  <c r="K262" i="3"/>
  <c r="K263" i="3"/>
  <c r="J265" i="3"/>
  <c r="L267" i="3"/>
  <c r="M267" i="3"/>
  <c r="N267" i="3"/>
  <c r="Q267" i="3"/>
  <c r="R267" i="3"/>
  <c r="S267" i="3"/>
  <c r="O270" i="3"/>
  <c r="P270" i="3"/>
  <c r="T270" i="3"/>
  <c r="U270" i="3"/>
  <c r="L271" i="3"/>
  <c r="L269" i="3" s="1"/>
  <c r="M271" i="3"/>
  <c r="M269" i="3" s="1"/>
  <c r="N271" i="3"/>
  <c r="Q271" i="3"/>
  <c r="R271" i="3"/>
  <c r="S271" i="3"/>
  <c r="S268" i="3" s="1"/>
  <c r="Q272" i="3"/>
  <c r="T272" i="3" s="1"/>
  <c r="R272" i="3"/>
  <c r="U272" i="3" s="1"/>
  <c r="S272" i="3"/>
  <c r="O273" i="3"/>
  <c r="P273" i="3"/>
  <c r="T273" i="3"/>
  <c r="U273" i="3"/>
  <c r="L274" i="3"/>
  <c r="L272" i="3" s="1"/>
  <c r="O272" i="3" s="1"/>
  <c r="M274" i="3"/>
  <c r="M272" i="3" s="1"/>
  <c r="P272" i="3" s="1"/>
  <c r="N274" i="3"/>
  <c r="N272" i="3" s="1"/>
  <c r="T274" i="3"/>
  <c r="U274" i="3"/>
  <c r="I276" i="3"/>
  <c r="I265" i="3" s="1"/>
  <c r="J280" i="3"/>
  <c r="J281" i="3"/>
  <c r="L283" i="3"/>
  <c r="M283" i="3"/>
  <c r="N283" i="3"/>
  <c r="O283" i="3"/>
  <c r="Q283" i="3"/>
  <c r="Q282" i="3" s="1"/>
  <c r="T282" i="3" s="1"/>
  <c r="R283" i="3"/>
  <c r="R282" i="3" s="1"/>
  <c r="U282" i="3" s="1"/>
  <c r="S283" i="3"/>
  <c r="S282" i="3" s="1"/>
  <c r="T283" i="3"/>
  <c r="U283" i="3"/>
  <c r="Q284" i="3"/>
  <c r="T284" i="3" s="1"/>
  <c r="R284" i="3"/>
  <c r="S284" i="3"/>
  <c r="U284" i="3"/>
  <c r="Q285" i="3"/>
  <c r="T285" i="3" s="1"/>
  <c r="R285" i="3"/>
  <c r="U285" i="3" s="1"/>
  <c r="S285" i="3"/>
  <c r="O286" i="3"/>
  <c r="P286" i="3"/>
  <c r="T286" i="3"/>
  <c r="U286" i="3"/>
  <c r="L287" i="3"/>
  <c r="L285" i="3" s="1"/>
  <c r="M287" i="3"/>
  <c r="M285" i="3" s="1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M290" i="3"/>
  <c r="N290" i="3"/>
  <c r="N288" i="3" s="1"/>
  <c r="T290" i="3"/>
  <c r="U290" i="3"/>
  <c r="I292" i="3"/>
  <c r="I293" i="3"/>
  <c r="I280" i="3" s="1"/>
  <c r="J293" i="3"/>
  <c r="I295" i="3"/>
  <c r="K295" i="3" s="1"/>
  <c r="I296" i="3"/>
  <c r="K296" i="3" s="1"/>
  <c r="I298" i="3"/>
  <c r="K298" i="3" s="1"/>
  <c r="I299" i="3"/>
  <c r="K299" i="3" s="1"/>
  <c r="J302" i="3"/>
  <c r="L304" i="3"/>
  <c r="M304" i="3"/>
  <c r="N304" i="3"/>
  <c r="O304" i="3"/>
  <c r="P304" i="3"/>
  <c r="Q304" i="3"/>
  <c r="R304" i="3"/>
  <c r="S304" i="3"/>
  <c r="U304" i="3"/>
  <c r="O307" i="3"/>
  <c r="P307" i="3"/>
  <c r="T307" i="3"/>
  <c r="U307" i="3"/>
  <c r="L308" i="3"/>
  <c r="M308" i="3"/>
  <c r="M306" i="3" s="1"/>
  <c r="N308" i="3"/>
  <c r="Q308" i="3"/>
  <c r="R308" i="3"/>
  <c r="R305" i="3" s="1"/>
  <c r="S308" i="3"/>
  <c r="Q309" i="3"/>
  <c r="R309" i="3"/>
  <c r="S309" i="3"/>
  <c r="T309" i="3"/>
  <c r="U309" i="3"/>
  <c r="O310" i="3"/>
  <c r="P310" i="3"/>
  <c r="T310" i="3"/>
  <c r="U310" i="3"/>
  <c r="L311" i="3"/>
  <c r="M311" i="3"/>
  <c r="P311" i="3" s="1"/>
  <c r="N311" i="3"/>
  <c r="N309" i="3" s="1"/>
  <c r="T311" i="3"/>
  <c r="U311" i="3"/>
  <c r="I314" i="3"/>
  <c r="I302" i="3" s="1"/>
  <c r="K302" i="3" s="1"/>
  <c r="J319" i="3"/>
  <c r="L321" i="3"/>
  <c r="M321" i="3"/>
  <c r="P321" i="3" s="1"/>
  <c r="N321" i="3"/>
  <c r="O321" i="3"/>
  <c r="Q321" i="3"/>
  <c r="Q320" i="3" s="1"/>
  <c r="T320" i="3" s="1"/>
  <c r="R321" i="3"/>
  <c r="S321" i="3"/>
  <c r="S320" i="3" s="1"/>
  <c r="T321" i="3"/>
  <c r="U321" i="3"/>
  <c r="Q322" i="3"/>
  <c r="T322" i="3" s="1"/>
  <c r="R322" i="3"/>
  <c r="S322" i="3"/>
  <c r="Q323" i="3"/>
  <c r="T323" i="3" s="1"/>
  <c r="R323" i="3"/>
  <c r="U323" i="3" s="1"/>
  <c r="S323" i="3"/>
  <c r="O324" i="3"/>
  <c r="P324" i="3"/>
  <c r="T324" i="3"/>
  <c r="U324" i="3"/>
  <c r="L325" i="3"/>
  <c r="L323" i="3" s="1"/>
  <c r="O323" i="3" s="1"/>
  <c r="M325" i="3"/>
  <c r="M323" i="3" s="1"/>
  <c r="P323" i="3" s="1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O326" i="3" s="1"/>
  <c r="M328" i="3"/>
  <c r="N328" i="3"/>
  <c r="N326" i="3" s="1"/>
  <c r="T328" i="3"/>
  <c r="U328" i="3"/>
  <c r="I330" i="3"/>
  <c r="I332" i="3"/>
  <c r="R333" i="3"/>
  <c r="U333" i="3"/>
  <c r="L334" i="3"/>
  <c r="M334" i="3"/>
  <c r="N334" i="3"/>
  <c r="P334" i="3"/>
  <c r="Q334" i="3"/>
  <c r="R334" i="3"/>
  <c r="U334" i="3" s="1"/>
  <c r="S334" i="3"/>
  <c r="Q335" i="3"/>
  <c r="T335" i="3" s="1"/>
  <c r="R335" i="3"/>
  <c r="U335" i="3" s="1"/>
  <c r="S335" i="3"/>
  <c r="S333" i="3" s="1"/>
  <c r="Q336" i="3"/>
  <c r="R336" i="3"/>
  <c r="U336" i="3" s="1"/>
  <c r="S336" i="3"/>
  <c r="T336" i="3"/>
  <c r="O337" i="3"/>
  <c r="P337" i="3"/>
  <c r="T337" i="3"/>
  <c r="U337" i="3"/>
  <c r="L338" i="3"/>
  <c r="M338" i="3"/>
  <c r="N338" i="3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O341" i="3" s="1"/>
  <c r="M341" i="3"/>
  <c r="N341" i="3"/>
  <c r="N339" i="3" s="1"/>
  <c r="T341" i="3"/>
  <c r="U341" i="3"/>
  <c r="J344" i="3"/>
  <c r="K344" i="3"/>
  <c r="I346" i="3"/>
  <c r="J346" i="3"/>
  <c r="J347" i="3"/>
  <c r="J348" i="3"/>
  <c r="J349" i="3"/>
  <c r="D350" i="3"/>
  <c r="J352" i="3"/>
  <c r="J353" i="3"/>
  <c r="J354" i="3"/>
  <c r="Q356" i="3"/>
  <c r="T356" i="3" s="1"/>
  <c r="L357" i="3"/>
  <c r="O357" i="3" s="1"/>
  <c r="M357" i="3"/>
  <c r="P357" i="3" s="1"/>
  <c r="N357" i="3"/>
  <c r="Q357" i="3"/>
  <c r="R357" i="3"/>
  <c r="R356" i="3" s="1"/>
  <c r="U356" i="3" s="1"/>
  <c r="S357" i="3"/>
  <c r="S356" i="3" s="1"/>
  <c r="T357" i="3"/>
  <c r="Q358" i="3"/>
  <c r="T358" i="3" s="1"/>
  <c r="R358" i="3"/>
  <c r="S358" i="3"/>
  <c r="U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T361" i="3"/>
  <c r="U361" i="3"/>
  <c r="Q362" i="3"/>
  <c r="R362" i="3"/>
  <c r="U362" i="3" s="1"/>
  <c r="S362" i="3"/>
  <c r="T362" i="3"/>
  <c r="O363" i="3"/>
  <c r="P363" i="3"/>
  <c r="T363" i="3"/>
  <c r="U363" i="3"/>
  <c r="L364" i="3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M376" i="3"/>
  <c r="P376" i="3" s="1"/>
  <c r="N376" i="3"/>
  <c r="O376" i="3"/>
  <c r="Q376" i="3"/>
  <c r="R376" i="3"/>
  <c r="S376" i="3"/>
  <c r="U376" i="3"/>
  <c r="O379" i="3"/>
  <c r="P379" i="3"/>
  <c r="T379" i="3"/>
  <c r="U379" i="3"/>
  <c r="L380" i="3"/>
  <c r="M380" i="3"/>
  <c r="P380" i="3" s="1"/>
  <c r="N380" i="3"/>
  <c r="N378" i="3" s="1"/>
  <c r="Q380" i="3"/>
  <c r="Q377" i="3" s="1"/>
  <c r="R380" i="3"/>
  <c r="R377" i="3" s="1"/>
  <c r="U377" i="3" s="1"/>
  <c r="S380" i="3"/>
  <c r="Q381" i="3"/>
  <c r="T381" i="3" s="1"/>
  <c r="R381" i="3"/>
  <c r="U381" i="3" s="1"/>
  <c r="S381" i="3"/>
  <c r="O382" i="3"/>
  <c r="P382" i="3"/>
  <c r="T382" i="3"/>
  <c r="U382" i="3"/>
  <c r="L383" i="3"/>
  <c r="L381" i="3" s="1"/>
  <c r="O381" i="3" s="1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O393" i="3" s="1"/>
  <c r="M393" i="3"/>
  <c r="P393" i="3" s="1"/>
  <c r="N393" i="3"/>
  <c r="N392" i="3" s="1"/>
  <c r="Q393" i="3"/>
  <c r="R393" i="3"/>
  <c r="S393" i="3"/>
  <c r="L394" i="3"/>
  <c r="O394" i="3" s="1"/>
  <c r="M394" i="3"/>
  <c r="P394" i="3" s="1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R397" i="3"/>
  <c r="R395" i="3" s="1"/>
  <c r="U395" i="3" s="1"/>
  <c r="S397" i="3"/>
  <c r="S395" i="3" s="1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N414" i="3"/>
  <c r="P414" i="3"/>
  <c r="Q414" i="3"/>
  <c r="R414" i="3"/>
  <c r="S414" i="3"/>
  <c r="O417" i="3"/>
  <c r="P417" i="3"/>
  <c r="T417" i="3"/>
  <c r="U417" i="3"/>
  <c r="L418" i="3"/>
  <c r="M418" i="3"/>
  <c r="N418" i="3"/>
  <c r="N416" i="3" s="1"/>
  <c r="Q418" i="3"/>
  <c r="Q415" i="3" s="1"/>
  <c r="R418" i="3"/>
  <c r="R415" i="3" s="1"/>
  <c r="S418" i="3"/>
  <c r="Q419" i="3"/>
  <c r="T419" i="3" s="1"/>
  <c r="R419" i="3"/>
  <c r="U419" i="3" s="1"/>
  <c r="S419" i="3"/>
  <c r="O420" i="3"/>
  <c r="P420" i="3"/>
  <c r="T420" i="3"/>
  <c r="U420" i="3"/>
  <c r="L421" i="3"/>
  <c r="M421" i="3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23" i="3" s="1"/>
  <c r="I412" i="3" s="1"/>
  <c r="K412" i="3" s="1"/>
  <c r="I441" i="3"/>
  <c r="J446" i="3"/>
  <c r="J440" i="3" s="1"/>
  <c r="J423" i="3" s="1"/>
  <c r="J412" i="3" s="1"/>
  <c r="J447" i="3"/>
  <c r="J441" i="3" s="1"/>
  <c r="I457" i="3"/>
  <c r="I456" i="3" s="1"/>
  <c r="I458" i="3"/>
  <c r="J459" i="3"/>
  <c r="J460" i="3"/>
  <c r="J467" i="3"/>
  <c r="J468" i="3"/>
  <c r="J458" i="3" s="1"/>
  <c r="J475" i="3"/>
  <c r="K475" i="3"/>
  <c r="J476" i="3"/>
  <c r="K476" i="3"/>
  <c r="J477" i="3"/>
  <c r="K477" i="3"/>
  <c r="I484" i="3"/>
  <c r="K484" i="3" s="1"/>
  <c r="J484" i="3"/>
  <c r="I485" i="3"/>
  <c r="K485" i="3" s="1"/>
  <c r="J485" i="3"/>
  <c r="L494" i="3"/>
  <c r="M494" i="3"/>
  <c r="N494" i="3"/>
  <c r="P494" i="3"/>
  <c r="Q494" i="3"/>
  <c r="R494" i="3"/>
  <c r="S494" i="3"/>
  <c r="O497" i="3"/>
  <c r="P497" i="3"/>
  <c r="T497" i="3"/>
  <c r="U497" i="3"/>
  <c r="L498" i="3"/>
  <c r="M498" i="3"/>
  <c r="N498" i="3"/>
  <c r="N496" i="3" s="1"/>
  <c r="Q498" i="3"/>
  <c r="Q495" i="3" s="1"/>
  <c r="T495" i="3" s="1"/>
  <c r="R498" i="3"/>
  <c r="R495" i="3" s="1"/>
  <c r="U495" i="3" s="1"/>
  <c r="S498" i="3"/>
  <c r="Q499" i="3"/>
  <c r="R499" i="3"/>
  <c r="S499" i="3"/>
  <c r="T499" i="3"/>
  <c r="U499" i="3"/>
  <c r="O500" i="3"/>
  <c r="P500" i="3"/>
  <c r="T500" i="3"/>
  <c r="U500" i="3"/>
  <c r="L501" i="3"/>
  <c r="M501" i="3"/>
  <c r="N501" i="3"/>
  <c r="N499" i="3" s="1"/>
  <c r="T501" i="3"/>
  <c r="U501" i="3"/>
  <c r="I503" i="3"/>
  <c r="K503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R513" i="3"/>
  <c r="U513" i="3" s="1"/>
  <c r="L514" i="3"/>
  <c r="M514" i="3"/>
  <c r="N514" i="3"/>
  <c r="O514" i="3"/>
  <c r="P514" i="3"/>
  <c r="Q514" i="3"/>
  <c r="R514" i="3"/>
  <c r="S514" i="3"/>
  <c r="S513" i="3" s="1"/>
  <c r="T514" i="3"/>
  <c r="U514" i="3"/>
  <c r="Q515" i="3"/>
  <c r="T515" i="3" s="1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M516" i="3" s="1"/>
  <c r="P516" i="3" s="1"/>
  <c r="N518" i="3"/>
  <c r="N516" i="3" s="1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L519" i="3" s="1"/>
  <c r="O519" i="3" s="1"/>
  <c r="M521" i="3"/>
  <c r="N521" i="3"/>
  <c r="N519" i="3" s="1"/>
  <c r="T521" i="3"/>
  <c r="U521" i="3"/>
  <c r="K523" i="3"/>
  <c r="K524" i="3"/>
  <c r="I533" i="3"/>
  <c r="K533" i="3" s="1"/>
  <c r="J533" i="3"/>
  <c r="S534" i="3"/>
  <c r="L535" i="3"/>
  <c r="M535" i="3"/>
  <c r="N535" i="3"/>
  <c r="O535" i="3"/>
  <c r="P535" i="3"/>
  <c r="Q535" i="3"/>
  <c r="R535" i="3"/>
  <c r="S535" i="3"/>
  <c r="U535" i="3"/>
  <c r="Q536" i="3"/>
  <c r="T536" i="3" s="1"/>
  <c r="R536" i="3"/>
  <c r="U536" i="3" s="1"/>
  <c r="S536" i="3"/>
  <c r="Q537" i="3"/>
  <c r="T537" i="3" s="1"/>
  <c r="R537" i="3"/>
  <c r="U537" i="3" s="1"/>
  <c r="S537" i="3"/>
  <c r="O538" i="3"/>
  <c r="P538" i="3"/>
  <c r="T538" i="3"/>
  <c r="U538" i="3"/>
  <c r="L539" i="3"/>
  <c r="M539" i="3"/>
  <c r="N539" i="3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M542" i="3"/>
  <c r="N542" i="3"/>
  <c r="N540" i="3" s="1"/>
  <c r="T542" i="3"/>
  <c r="U542" i="3"/>
  <c r="I554" i="3"/>
  <c r="K554" i="3" s="1"/>
  <c r="J554" i="3"/>
  <c r="L556" i="3"/>
  <c r="M556" i="3"/>
  <c r="N556" i="3"/>
  <c r="Q556" i="3"/>
  <c r="Q555" i="3" s="1"/>
  <c r="T555" i="3" s="1"/>
  <c r="R556" i="3"/>
  <c r="S556" i="3"/>
  <c r="S555" i="3" s="1"/>
  <c r="Q557" i="3"/>
  <c r="T557" i="3" s="1"/>
  <c r="R557" i="3"/>
  <c r="U557" i="3" s="1"/>
  <c r="S557" i="3"/>
  <c r="Q558" i="3"/>
  <c r="T558" i="3" s="1"/>
  <c r="R558" i="3"/>
  <c r="U558" i="3" s="1"/>
  <c r="S558" i="3"/>
  <c r="O559" i="3"/>
  <c r="P559" i="3"/>
  <c r="T559" i="3"/>
  <c r="U559" i="3"/>
  <c r="L560" i="3"/>
  <c r="O560" i="3" s="1"/>
  <c r="M560" i="3"/>
  <c r="M558" i="3" s="1"/>
  <c r="P558" i="3" s="1"/>
  <c r="N560" i="3"/>
  <c r="N558" i="3" s="1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M563" i="3"/>
  <c r="P563" i="3" s="1"/>
  <c r="N563" i="3"/>
  <c r="N561" i="3" s="1"/>
  <c r="T563" i="3"/>
  <c r="U563" i="3"/>
  <c r="I575" i="3"/>
  <c r="K575" i="3" s="1"/>
  <c r="J575" i="3"/>
  <c r="L577" i="3"/>
  <c r="O577" i="3" s="1"/>
  <c r="M577" i="3"/>
  <c r="P577" i="3" s="1"/>
  <c r="N577" i="3"/>
  <c r="Q577" i="3"/>
  <c r="R577" i="3"/>
  <c r="S577" i="3"/>
  <c r="S576" i="3" s="1"/>
  <c r="Q578" i="3"/>
  <c r="T578" i="3" s="1"/>
  <c r="R578" i="3"/>
  <c r="U578" i="3" s="1"/>
  <c r="S578" i="3"/>
  <c r="Q579" i="3"/>
  <c r="T579" i="3" s="1"/>
  <c r="R579" i="3"/>
  <c r="S579" i="3"/>
  <c r="U579" i="3"/>
  <c r="O580" i="3"/>
  <c r="P580" i="3"/>
  <c r="T580" i="3"/>
  <c r="U580" i="3"/>
  <c r="L581" i="3"/>
  <c r="M581" i="3"/>
  <c r="N581" i="3"/>
  <c r="N579" i="3" s="1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L582" i="3" s="1"/>
  <c r="O582" i="3" s="1"/>
  <c r="M584" i="3"/>
  <c r="P584" i="3" s="1"/>
  <c r="N584" i="3"/>
  <c r="N582" i="3" s="1"/>
  <c r="T584" i="3"/>
  <c r="U584" i="3"/>
  <c r="L600" i="3"/>
  <c r="M600" i="3"/>
  <c r="N600" i="3"/>
  <c r="O600" i="3"/>
  <c r="P600" i="3"/>
  <c r="Q600" i="3"/>
  <c r="R600" i="3"/>
  <c r="S600" i="3"/>
  <c r="U600" i="3"/>
  <c r="O603" i="3"/>
  <c r="P603" i="3"/>
  <c r="T603" i="3"/>
  <c r="U603" i="3"/>
  <c r="L604" i="3"/>
  <c r="M604" i="3"/>
  <c r="N604" i="3"/>
  <c r="Q604" i="3"/>
  <c r="Q602" i="3" s="1"/>
  <c r="T602" i="3" s="1"/>
  <c r="R604" i="3"/>
  <c r="S604" i="3"/>
  <c r="S602" i="3" s="1"/>
  <c r="O606" i="3"/>
  <c r="P606" i="3"/>
  <c r="T606" i="3"/>
  <c r="U606" i="3"/>
  <c r="L607" i="3"/>
  <c r="M607" i="3"/>
  <c r="P607" i="3" s="1"/>
  <c r="N607" i="3"/>
  <c r="N605" i="3" s="1"/>
  <c r="Q607" i="3"/>
  <c r="Q605" i="3" s="1"/>
  <c r="T605" i="3" s="1"/>
  <c r="R607" i="3"/>
  <c r="S607" i="3"/>
  <c r="S605" i="3" s="1"/>
  <c r="L617" i="3"/>
  <c r="M617" i="3"/>
  <c r="P617" i="3" s="1"/>
  <c r="N617" i="3"/>
  <c r="O617" i="3"/>
  <c r="Q617" i="3"/>
  <c r="T617" i="3" s="1"/>
  <c r="R617" i="3"/>
  <c r="U617" i="3" s="1"/>
  <c r="S617" i="3"/>
  <c r="L618" i="3"/>
  <c r="O618" i="3" s="1"/>
  <c r="M618" i="3"/>
  <c r="N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9" i="3" s="1"/>
  <c r="R621" i="3"/>
  <c r="S621" i="3"/>
  <c r="L622" i="3"/>
  <c r="O622" i="3" s="1"/>
  <c r="M622" i="3"/>
  <c r="N622" i="3"/>
  <c r="P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I635" i="3"/>
  <c r="K635" i="3" s="1"/>
  <c r="J636" i="3"/>
  <c r="J635" i="3" s="1"/>
  <c r="L643" i="3"/>
  <c r="O643" i="3" s="1"/>
  <c r="M643" i="3"/>
  <c r="N643" i="3"/>
  <c r="Q643" i="3"/>
  <c r="R643" i="3"/>
  <c r="U643" i="3" s="1"/>
  <c r="S643" i="3"/>
  <c r="L644" i="3"/>
  <c r="O644" i="3" s="1"/>
  <c r="M644" i="3"/>
  <c r="P644" i="3" s="1"/>
  <c r="N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5" i="3" s="1"/>
  <c r="T645" i="3" s="1"/>
  <c r="R647" i="3"/>
  <c r="R645" i="3" s="1"/>
  <c r="U645" i="3" s="1"/>
  <c r="S647" i="3"/>
  <c r="L648" i="3"/>
  <c r="O648" i="3" s="1"/>
  <c r="M648" i="3"/>
  <c r="P648" i="3" s="1"/>
  <c r="N648" i="3"/>
  <c r="Q648" i="3"/>
  <c r="R648" i="3"/>
  <c r="U648" i="3" s="1"/>
  <c r="S648" i="3"/>
  <c r="T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O691" i="3" s="1"/>
  <c r="M691" i="3"/>
  <c r="P691" i="3" s="1"/>
  <c r="N691" i="3"/>
  <c r="Q691" i="3"/>
  <c r="R691" i="3"/>
  <c r="S691" i="3"/>
  <c r="L692" i="3"/>
  <c r="M692" i="3"/>
  <c r="P692" i="3" s="1"/>
  <c r="N692" i="3"/>
  <c r="O692" i="3"/>
  <c r="L693" i="3"/>
  <c r="O693" i="3" s="1"/>
  <c r="M693" i="3"/>
  <c r="N693" i="3"/>
  <c r="P693" i="3"/>
  <c r="O694" i="3"/>
  <c r="P694" i="3"/>
  <c r="T694" i="3"/>
  <c r="U694" i="3"/>
  <c r="O695" i="3"/>
  <c r="P695" i="3"/>
  <c r="Q695" i="3"/>
  <c r="Q692" i="3" s="1"/>
  <c r="R695" i="3"/>
  <c r="S695" i="3"/>
  <c r="L696" i="3"/>
  <c r="M696" i="3"/>
  <c r="P696" i="3" s="1"/>
  <c r="N696" i="3"/>
  <c r="O696" i="3"/>
  <c r="Q696" i="3"/>
  <c r="R696" i="3"/>
  <c r="S696" i="3"/>
  <c r="T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K705" i="3" s="1"/>
  <c r="J705" i="3"/>
  <c r="J706" i="3"/>
  <c r="K706" i="3"/>
  <c r="I707" i="3"/>
  <c r="I689" i="3" s="1"/>
  <c r="J707" i="3"/>
  <c r="J708" i="3"/>
  <c r="K708" i="3"/>
  <c r="I709" i="3"/>
  <c r="K709" i="3" s="1"/>
  <c r="J709" i="3"/>
  <c r="J710" i="3"/>
  <c r="K710" i="3"/>
  <c r="J712" i="3"/>
  <c r="K712" i="3"/>
  <c r="L715" i="3"/>
  <c r="M715" i="3"/>
  <c r="N715" i="3"/>
  <c r="O715" i="3"/>
  <c r="Q715" i="3"/>
  <c r="T715" i="3" s="1"/>
  <c r="R715" i="3"/>
  <c r="S715" i="3"/>
  <c r="L716" i="3"/>
  <c r="O716" i="3" s="1"/>
  <c r="M716" i="3"/>
  <c r="P716" i="3" s="1"/>
  <c r="N716" i="3"/>
  <c r="Q716" i="3"/>
  <c r="R716" i="3"/>
  <c r="S716" i="3"/>
  <c r="S714" i="3" s="1"/>
  <c r="T716" i="3"/>
  <c r="U716" i="3"/>
  <c r="L717" i="3"/>
  <c r="M717" i="3"/>
  <c r="N717" i="3"/>
  <c r="O717" i="3"/>
  <c r="P717" i="3"/>
  <c r="Q717" i="3"/>
  <c r="T717" i="3" s="1"/>
  <c r="R717" i="3"/>
  <c r="S717" i="3"/>
  <c r="U717" i="3"/>
  <c r="O718" i="3"/>
  <c r="P718" i="3"/>
  <c r="T718" i="3"/>
  <c r="U718" i="3"/>
  <c r="O719" i="3"/>
  <c r="P719" i="3"/>
  <c r="T719" i="3"/>
  <c r="U719" i="3"/>
  <c r="L720" i="3"/>
  <c r="O720" i="3" s="1"/>
  <c r="M720" i="3"/>
  <c r="N720" i="3"/>
  <c r="P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L729" i="3"/>
  <c r="M729" i="3"/>
  <c r="N729" i="3"/>
  <c r="O729" i="3"/>
  <c r="Q729" i="3"/>
  <c r="T729" i="3" s="1"/>
  <c r="R729" i="3"/>
  <c r="S729" i="3"/>
  <c r="U729" i="3"/>
  <c r="L730" i="3"/>
  <c r="O730" i="3" s="1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R733" i="3"/>
  <c r="R731" i="3" s="1"/>
  <c r="S733" i="3"/>
  <c r="S730" i="3" s="1"/>
  <c r="L734" i="3"/>
  <c r="O734" i="3" s="1"/>
  <c r="M734" i="3"/>
  <c r="P734" i="3" s="1"/>
  <c r="N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N760" i="3"/>
  <c r="L761" i="3"/>
  <c r="M761" i="3"/>
  <c r="M760" i="3" s="1"/>
  <c r="P760" i="3" s="1"/>
  <c r="N761" i="3"/>
  <c r="Q761" i="3"/>
  <c r="R761" i="3"/>
  <c r="S761" i="3"/>
  <c r="T761" i="3"/>
  <c r="L762" i="3"/>
  <c r="M762" i="3"/>
  <c r="N762" i="3"/>
  <c r="O762" i="3"/>
  <c r="P762" i="3"/>
  <c r="L763" i="3"/>
  <c r="O763" i="3" s="1"/>
  <c r="M763" i="3"/>
  <c r="N763" i="3"/>
  <c r="P763" i="3"/>
  <c r="O764" i="3"/>
  <c r="P764" i="3"/>
  <c r="T764" i="3"/>
  <c r="U764" i="3"/>
  <c r="O765" i="3"/>
  <c r="P765" i="3"/>
  <c r="Q765" i="3"/>
  <c r="Q763" i="3" s="1"/>
  <c r="R765" i="3"/>
  <c r="S765" i="3"/>
  <c r="S763" i="3" s="1"/>
  <c r="L766" i="3"/>
  <c r="O766" i="3" s="1"/>
  <c r="M766" i="3"/>
  <c r="P766" i="3" s="1"/>
  <c r="N766" i="3"/>
  <c r="Q766" i="3"/>
  <c r="R766" i="3"/>
  <c r="U766" i="3" s="1"/>
  <c r="S766" i="3"/>
  <c r="T766" i="3"/>
  <c r="O767" i="3"/>
  <c r="P767" i="3"/>
  <c r="T767" i="3"/>
  <c r="U767" i="3"/>
  <c r="O768" i="3"/>
  <c r="P768" i="3"/>
  <c r="T768" i="3"/>
  <c r="U768" i="3"/>
  <c r="I770" i="3"/>
  <c r="K770" i="3" s="1"/>
  <c r="I772" i="3"/>
  <c r="K772" i="3" s="1"/>
  <c r="I774" i="3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N19" i="2" s="1"/>
  <c r="O22" i="2"/>
  <c r="Q22" i="2"/>
  <c r="T22" i="2" s="1"/>
  <c r="R22" i="2"/>
  <c r="U22" i="2" s="1"/>
  <c r="S22" i="2"/>
  <c r="L25" i="2"/>
  <c r="M25" i="2"/>
  <c r="N25" i="2"/>
  <c r="O25" i="2"/>
  <c r="Q25" i="2"/>
  <c r="T25" i="2" s="1"/>
  <c r="R25" i="2"/>
  <c r="S25" i="2"/>
  <c r="U25" i="2"/>
  <c r="Q44" i="2"/>
  <c r="T44" i="2" s="1"/>
  <c r="L45" i="2"/>
  <c r="O45" i="2" s="1"/>
  <c r="M45" i="2"/>
  <c r="N45" i="2"/>
  <c r="Q45" i="2"/>
  <c r="R45" i="2"/>
  <c r="S45" i="2"/>
  <c r="S44" i="2" s="1"/>
  <c r="T45" i="2"/>
  <c r="Q46" i="2"/>
  <c r="R46" i="2"/>
  <c r="U46" i="2" s="1"/>
  <c r="S46" i="2"/>
  <c r="T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O52" i="2" s="1"/>
  <c r="M52" i="2"/>
  <c r="N52" i="2"/>
  <c r="T52" i="2"/>
  <c r="U52" i="2"/>
  <c r="L60" i="2"/>
  <c r="O60" i="2" s="1"/>
  <c r="M60" i="2"/>
  <c r="N60" i="2"/>
  <c r="P60" i="2"/>
  <c r="Q60" i="2"/>
  <c r="R60" i="2"/>
  <c r="U60" i="2" s="1"/>
  <c r="S60" i="2"/>
  <c r="S59" i="2" s="1"/>
  <c r="T60" i="2"/>
  <c r="Q61" i="2"/>
  <c r="R61" i="2"/>
  <c r="U61" i="2" s="1"/>
  <c r="S61" i="2"/>
  <c r="T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T64" i="2"/>
  <c r="U64" i="2"/>
  <c r="Q65" i="2"/>
  <c r="T65" i="2" s="1"/>
  <c r="R65" i="2"/>
  <c r="S65" i="2"/>
  <c r="U65" i="2"/>
  <c r="O66" i="2"/>
  <c r="P66" i="2"/>
  <c r="T66" i="2"/>
  <c r="U66" i="2"/>
  <c r="L67" i="2"/>
  <c r="M67" i="2"/>
  <c r="N67" i="2"/>
  <c r="N65" i="2" s="1"/>
  <c r="T67" i="2"/>
  <c r="U67" i="2"/>
  <c r="L73" i="2"/>
  <c r="O73" i="2" s="1"/>
  <c r="M73" i="2"/>
  <c r="N73" i="2"/>
  <c r="P73" i="2"/>
  <c r="Q73" i="2"/>
  <c r="R73" i="2"/>
  <c r="U73" i="2" s="1"/>
  <c r="S73" i="2"/>
  <c r="T73" i="2"/>
  <c r="O76" i="2"/>
  <c r="P76" i="2"/>
  <c r="T76" i="2"/>
  <c r="U76" i="2"/>
  <c r="L77" i="2"/>
  <c r="M77" i="2"/>
  <c r="N77" i="2"/>
  <c r="N75" i="2" s="1"/>
  <c r="Q77" i="2"/>
  <c r="T77" i="2" s="1"/>
  <c r="R77" i="2"/>
  <c r="S77" i="2"/>
  <c r="S75" i="2" s="1"/>
  <c r="O79" i="2"/>
  <c r="P79" i="2"/>
  <c r="T79" i="2"/>
  <c r="U79" i="2"/>
  <c r="L80" i="2"/>
  <c r="O80" i="2" s="1"/>
  <c r="M80" i="2"/>
  <c r="M78" i="2" s="1"/>
  <c r="P78" i="2" s="1"/>
  <c r="N80" i="2"/>
  <c r="N78" i="2" s="1"/>
  <c r="Q80" i="2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T95" i="2"/>
  <c r="O98" i="2"/>
  <c r="P98" i="2"/>
  <c r="T98" i="2"/>
  <c r="U98" i="2"/>
  <c r="L99" i="2"/>
  <c r="O99" i="2" s="1"/>
  <c r="M99" i="2"/>
  <c r="N99" i="2"/>
  <c r="Q99" i="2"/>
  <c r="R99" i="2"/>
  <c r="U99" i="2" s="1"/>
  <c r="S99" i="2"/>
  <c r="S97" i="2" s="1"/>
  <c r="Q100" i="2"/>
  <c r="R100" i="2"/>
  <c r="U100" i="2" s="1"/>
  <c r="S100" i="2"/>
  <c r="T100" i="2"/>
  <c r="O101" i="2"/>
  <c r="P101" i="2"/>
  <c r="T101" i="2"/>
  <c r="U101" i="2"/>
  <c r="L102" i="2"/>
  <c r="O102" i="2" s="1"/>
  <c r="M102" i="2"/>
  <c r="N102" i="2"/>
  <c r="N100" i="2" s="1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M118" i="2"/>
  <c r="P118" i="2" s="1"/>
  <c r="N118" i="2"/>
  <c r="Q118" i="2"/>
  <c r="T118" i="2" s="1"/>
  <c r="R118" i="2"/>
  <c r="S118" i="2"/>
  <c r="O121" i="2"/>
  <c r="P121" i="2"/>
  <c r="T121" i="2"/>
  <c r="U121" i="2"/>
  <c r="L122" i="2"/>
  <c r="O122" i="2" s="1"/>
  <c r="M122" i="2"/>
  <c r="M120" i="2" s="1"/>
  <c r="P120" i="2" s="1"/>
  <c r="N122" i="2"/>
  <c r="Q122" i="2"/>
  <c r="Q120" i="2" s="1"/>
  <c r="R122" i="2"/>
  <c r="S122" i="2"/>
  <c r="S120" i="2" s="1"/>
  <c r="O124" i="2"/>
  <c r="P124" i="2"/>
  <c r="T124" i="2"/>
  <c r="U124" i="2"/>
  <c r="L125" i="2"/>
  <c r="O125" i="2" s="1"/>
  <c r="M125" i="2"/>
  <c r="P125" i="2" s="1"/>
  <c r="N125" i="2"/>
  <c r="N123" i="2" s="1"/>
  <c r="Q125" i="2"/>
  <c r="R125" i="2"/>
  <c r="U125" i="2" s="1"/>
  <c r="S125" i="2"/>
  <c r="S123" i="2" s="1"/>
  <c r="I127" i="2"/>
  <c r="K127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O140" i="2"/>
  <c r="Q140" i="2"/>
  <c r="T140" i="2" s="1"/>
  <c r="R140" i="2"/>
  <c r="U140" i="2" s="1"/>
  <c r="S140" i="2"/>
  <c r="O143" i="2"/>
  <c r="P143" i="2"/>
  <c r="T143" i="2"/>
  <c r="U143" i="2"/>
  <c r="L144" i="2"/>
  <c r="L142" i="2" s="1"/>
  <c r="O142" i="2" s="1"/>
  <c r="M144" i="2"/>
  <c r="P144" i="2" s="1"/>
  <c r="N144" i="2"/>
  <c r="N142" i="2" s="1"/>
  <c r="Q144" i="2"/>
  <c r="R144" i="2"/>
  <c r="R142" i="2" s="1"/>
  <c r="U142" i="2" s="1"/>
  <c r="S144" i="2"/>
  <c r="S142" i="2" s="1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Q145" i="2" s="1"/>
  <c r="T145" i="2" s="1"/>
  <c r="R147" i="2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M158" i="2"/>
  <c r="N158" i="2"/>
  <c r="P158" i="2"/>
  <c r="Q158" i="2"/>
  <c r="R158" i="2"/>
  <c r="S158" i="2"/>
  <c r="O161" i="2"/>
  <c r="P161" i="2"/>
  <c r="T161" i="2"/>
  <c r="U161" i="2"/>
  <c r="L162" i="2"/>
  <c r="O162" i="2" s="1"/>
  <c r="M162" i="2"/>
  <c r="P162" i="2" s="1"/>
  <c r="N162" i="2"/>
  <c r="N160" i="2" s="1"/>
  <c r="Q162" i="2"/>
  <c r="R162" i="2"/>
  <c r="U162" i="2" s="1"/>
  <c r="S162" i="2"/>
  <c r="S160" i="2" s="1"/>
  <c r="Q163" i="2"/>
  <c r="R163" i="2"/>
  <c r="U163" i="2" s="1"/>
  <c r="S163" i="2"/>
  <c r="T163" i="2"/>
  <c r="O164" i="2"/>
  <c r="P164" i="2"/>
  <c r="T164" i="2"/>
  <c r="U164" i="2"/>
  <c r="L165" i="2"/>
  <c r="O165" i="2" s="1"/>
  <c r="M165" i="2"/>
  <c r="P165" i="2" s="1"/>
  <c r="N165" i="2"/>
  <c r="N163" i="2" s="1"/>
  <c r="T165" i="2"/>
  <c r="U165" i="2"/>
  <c r="I167" i="2"/>
  <c r="K167" i="2" s="1"/>
  <c r="I168" i="2"/>
  <c r="K168" i="2" s="1"/>
  <c r="I169" i="2"/>
  <c r="I156" i="2" s="1"/>
  <c r="K156" i="2" s="1"/>
  <c r="J172" i="2"/>
  <c r="L174" i="2"/>
  <c r="M174" i="2"/>
  <c r="N174" i="2"/>
  <c r="P174" i="2"/>
  <c r="Q174" i="2"/>
  <c r="T174" i="2" s="1"/>
  <c r="R174" i="2"/>
  <c r="S174" i="2"/>
  <c r="O177" i="2"/>
  <c r="P177" i="2"/>
  <c r="T177" i="2"/>
  <c r="U177" i="2"/>
  <c r="L178" i="2"/>
  <c r="L176" i="2" s="1"/>
  <c r="M178" i="2"/>
  <c r="N178" i="2"/>
  <c r="N176" i="2" s="1"/>
  <c r="Q178" i="2"/>
  <c r="T178" i="2" s="1"/>
  <c r="R178" i="2"/>
  <c r="U178" i="2" s="1"/>
  <c r="S178" i="2"/>
  <c r="Q179" i="2"/>
  <c r="R179" i="2"/>
  <c r="U179" i="2" s="1"/>
  <c r="S179" i="2"/>
  <c r="T179" i="2"/>
  <c r="O180" i="2"/>
  <c r="P180" i="2"/>
  <c r="T180" i="2"/>
  <c r="U180" i="2"/>
  <c r="L181" i="2"/>
  <c r="M181" i="2"/>
  <c r="N181" i="2"/>
  <c r="N179" i="2" s="1"/>
  <c r="T181" i="2"/>
  <c r="U181" i="2"/>
  <c r="I183" i="2"/>
  <c r="I172" i="2" s="1"/>
  <c r="K184" i="2"/>
  <c r="L187" i="2"/>
  <c r="M187" i="2"/>
  <c r="N187" i="2"/>
  <c r="Q187" i="2"/>
  <c r="T187" i="2" s="1"/>
  <c r="R187" i="2"/>
  <c r="S187" i="2"/>
  <c r="O190" i="2"/>
  <c r="P190" i="2"/>
  <c r="T190" i="2"/>
  <c r="U190" i="2"/>
  <c r="L191" i="2"/>
  <c r="M191" i="2"/>
  <c r="N191" i="2"/>
  <c r="N189" i="2" s="1"/>
  <c r="Q191" i="2"/>
  <c r="R191" i="2"/>
  <c r="R189" i="2" s="1"/>
  <c r="U189" i="2" s="1"/>
  <c r="S191" i="2"/>
  <c r="S189" i="2" s="1"/>
  <c r="O193" i="2"/>
  <c r="P193" i="2"/>
  <c r="T193" i="2"/>
  <c r="U193" i="2"/>
  <c r="L194" i="2"/>
  <c r="O194" i="2" s="1"/>
  <c r="M194" i="2"/>
  <c r="N194" i="2"/>
  <c r="Q194" i="2"/>
  <c r="Q192" i="2" s="1"/>
  <c r="T192" i="2" s="1"/>
  <c r="R194" i="2"/>
  <c r="U194" i="2" s="1"/>
  <c r="S194" i="2"/>
  <c r="S192" i="2" s="1"/>
  <c r="J195" i="2"/>
  <c r="L196" i="2"/>
  <c r="O196" i="2" s="1"/>
  <c r="P196" i="2"/>
  <c r="I198" i="2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I213" i="2" s="1"/>
  <c r="K213" i="2" s="1"/>
  <c r="J221" i="2"/>
  <c r="N222" i="2"/>
  <c r="P222" i="2"/>
  <c r="L223" i="2"/>
  <c r="L224" i="2"/>
  <c r="L225" i="2"/>
  <c r="I228" i="2"/>
  <c r="K228" i="2" s="1"/>
  <c r="I229" i="2"/>
  <c r="I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J241" i="2"/>
  <c r="K241" i="2"/>
  <c r="J242" i="2"/>
  <c r="N243" i="2"/>
  <c r="P243" i="2"/>
  <c r="L244" i="2"/>
  <c r="L245" i="2"/>
  <c r="L246" i="2"/>
  <c r="L247" i="2"/>
  <c r="I249" i="2"/>
  <c r="I242" i="2" s="1"/>
  <c r="K251" i="2"/>
  <c r="K252" i="2"/>
  <c r="J253" i="2"/>
  <c r="N254" i="2"/>
  <c r="N232" i="2" s="1"/>
  <c r="P254" i="2"/>
  <c r="L255" i="2"/>
  <c r="L256" i="2"/>
  <c r="L257" i="2"/>
  <c r="L258" i="2"/>
  <c r="I260" i="2"/>
  <c r="K260" i="2" s="1"/>
  <c r="K262" i="2"/>
  <c r="K263" i="2"/>
  <c r="J265" i="2"/>
  <c r="L267" i="2"/>
  <c r="M267" i="2"/>
  <c r="N267" i="2"/>
  <c r="P267" i="2"/>
  <c r="Q267" i="2"/>
  <c r="R267" i="2"/>
  <c r="S267" i="2"/>
  <c r="O270" i="2"/>
  <c r="P270" i="2"/>
  <c r="T270" i="2"/>
  <c r="U270" i="2"/>
  <c r="L271" i="2"/>
  <c r="M271" i="2"/>
  <c r="N271" i="2"/>
  <c r="Q271" i="2"/>
  <c r="Q268" i="2" s="1"/>
  <c r="R271" i="2"/>
  <c r="S271" i="2"/>
  <c r="S269" i="2" s="1"/>
  <c r="Q272" i="2"/>
  <c r="T272" i="2" s="1"/>
  <c r="R272" i="2"/>
  <c r="S272" i="2"/>
  <c r="U272" i="2"/>
  <c r="O273" i="2"/>
  <c r="P273" i="2"/>
  <c r="T273" i="2"/>
  <c r="U273" i="2"/>
  <c r="L274" i="2"/>
  <c r="M274" i="2"/>
  <c r="N274" i="2"/>
  <c r="N272" i="2" s="1"/>
  <c r="T274" i="2"/>
  <c r="U274" i="2"/>
  <c r="I276" i="2"/>
  <c r="I265" i="2" s="1"/>
  <c r="J281" i="2"/>
  <c r="L283" i="2"/>
  <c r="M283" i="2"/>
  <c r="N283" i="2"/>
  <c r="Q283" i="2"/>
  <c r="T283" i="2" s="1"/>
  <c r="R283" i="2"/>
  <c r="S283" i="2"/>
  <c r="Q284" i="2"/>
  <c r="R284" i="2"/>
  <c r="U284" i="2" s="1"/>
  <c r="S284" i="2"/>
  <c r="T284" i="2"/>
  <c r="Q285" i="2"/>
  <c r="T285" i="2" s="1"/>
  <c r="R285" i="2"/>
  <c r="S285" i="2"/>
  <c r="U285" i="2"/>
  <c r="O286" i="2"/>
  <c r="P286" i="2"/>
  <c r="T286" i="2"/>
  <c r="U286" i="2"/>
  <c r="L287" i="2"/>
  <c r="L285" i="2" s="1"/>
  <c r="M287" i="2"/>
  <c r="N287" i="2"/>
  <c r="N285" i="2" s="1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O290" i="2" s="1"/>
  <c r="M290" i="2"/>
  <c r="M288" i="2" s="1"/>
  <c r="P288" i="2" s="1"/>
  <c r="N290" i="2"/>
  <c r="N288" i="2" s="1"/>
  <c r="T290" i="2"/>
  <c r="U290" i="2"/>
  <c r="I292" i="2"/>
  <c r="I281" i="2" s="1"/>
  <c r="I293" i="2"/>
  <c r="I280" i="2" s="1"/>
  <c r="J293" i="2"/>
  <c r="J280" i="2" s="1"/>
  <c r="I295" i="2"/>
  <c r="K295" i="2" s="1"/>
  <c r="I296" i="2"/>
  <c r="K296" i="2" s="1"/>
  <c r="I298" i="2"/>
  <c r="K298" i="2" s="1"/>
  <c r="I299" i="2"/>
  <c r="K299" i="2" s="1"/>
  <c r="J302" i="2"/>
  <c r="L304" i="2"/>
  <c r="O304" i="2" s="1"/>
  <c r="M304" i="2"/>
  <c r="P304" i="2" s="1"/>
  <c r="N304" i="2"/>
  <c r="Q304" i="2"/>
  <c r="T304" i="2" s="1"/>
  <c r="R304" i="2"/>
  <c r="S304" i="2"/>
  <c r="U304" i="2"/>
  <c r="O307" i="2"/>
  <c r="P307" i="2"/>
  <c r="T307" i="2"/>
  <c r="U307" i="2"/>
  <c r="L308" i="2"/>
  <c r="L306" i="2" s="1"/>
  <c r="M308" i="2"/>
  <c r="N308" i="2"/>
  <c r="N306" i="2" s="1"/>
  <c r="Q308" i="2"/>
  <c r="R308" i="2"/>
  <c r="R305" i="2" s="1"/>
  <c r="R303" i="2" s="1"/>
  <c r="S308" i="2"/>
  <c r="Q309" i="2"/>
  <c r="T309" i="2" s="1"/>
  <c r="R309" i="2"/>
  <c r="U309" i="2" s="1"/>
  <c r="S309" i="2"/>
  <c r="O310" i="2"/>
  <c r="P310" i="2"/>
  <c r="T310" i="2"/>
  <c r="U310" i="2"/>
  <c r="L311" i="2"/>
  <c r="L309" i="2" s="1"/>
  <c r="O309" i="2" s="1"/>
  <c r="M311" i="2"/>
  <c r="N311" i="2"/>
  <c r="N309" i="2" s="1"/>
  <c r="T311" i="2"/>
  <c r="U311" i="2"/>
  <c r="I314" i="2"/>
  <c r="I302" i="2" s="1"/>
  <c r="K302" i="2" s="1"/>
  <c r="J319" i="2"/>
  <c r="L321" i="2"/>
  <c r="M321" i="2"/>
  <c r="N321" i="2"/>
  <c r="Q321" i="2"/>
  <c r="T321" i="2" s="1"/>
  <c r="R321" i="2"/>
  <c r="S321" i="2"/>
  <c r="Q322" i="2"/>
  <c r="R322" i="2"/>
  <c r="U322" i="2" s="1"/>
  <c r="S322" i="2"/>
  <c r="T322" i="2"/>
  <c r="Q323" i="2"/>
  <c r="T323" i="2" s="1"/>
  <c r="R323" i="2"/>
  <c r="U323" i="2" s="1"/>
  <c r="S323" i="2"/>
  <c r="O324" i="2"/>
  <c r="P324" i="2"/>
  <c r="T324" i="2"/>
  <c r="U324" i="2"/>
  <c r="L325" i="2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M328" i="2"/>
  <c r="P328" i="2" s="1"/>
  <c r="N328" i="2"/>
  <c r="N326" i="2" s="1"/>
  <c r="T328" i="2"/>
  <c r="U328" i="2"/>
  <c r="I330" i="2"/>
  <c r="I332" i="2"/>
  <c r="R333" i="2"/>
  <c r="U333" i="2" s="1"/>
  <c r="L334" i="2"/>
  <c r="M334" i="2"/>
  <c r="N334" i="2"/>
  <c r="Q334" i="2"/>
  <c r="Q333" i="2" s="1"/>
  <c r="T333" i="2" s="1"/>
  <c r="R334" i="2"/>
  <c r="U334" i="2" s="1"/>
  <c r="S334" i="2"/>
  <c r="T334" i="2"/>
  <c r="Q335" i="2"/>
  <c r="T335" i="2" s="1"/>
  <c r="R335" i="2"/>
  <c r="S335" i="2"/>
  <c r="U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M336" i="2" s="1"/>
  <c r="N338" i="2"/>
  <c r="N336" i="2" s="1"/>
  <c r="T338" i="2"/>
  <c r="U338" i="2"/>
  <c r="Q339" i="2"/>
  <c r="R339" i="2"/>
  <c r="S339" i="2"/>
  <c r="T339" i="2"/>
  <c r="U339" i="2"/>
  <c r="O340" i="2"/>
  <c r="P340" i="2"/>
  <c r="T340" i="2"/>
  <c r="U340" i="2"/>
  <c r="L341" i="2"/>
  <c r="M341" i="2"/>
  <c r="P341" i="2" s="1"/>
  <c r="N341" i="2"/>
  <c r="N339" i="2" s="1"/>
  <c r="T341" i="2"/>
  <c r="U341" i="2"/>
  <c r="J344" i="2"/>
  <c r="K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P357" i="2"/>
  <c r="Q357" i="2"/>
  <c r="R357" i="2"/>
  <c r="S357" i="2"/>
  <c r="Q358" i="2"/>
  <c r="T358" i="2" s="1"/>
  <c r="R358" i="2"/>
  <c r="U358" i="2" s="1"/>
  <c r="S358" i="2"/>
  <c r="S356" i="2" s="1"/>
  <c r="Q359" i="2"/>
  <c r="R359" i="2"/>
  <c r="U359" i="2" s="1"/>
  <c r="S359" i="2"/>
  <c r="T359" i="2"/>
  <c r="O360" i="2"/>
  <c r="P360" i="2"/>
  <c r="T360" i="2"/>
  <c r="U360" i="2"/>
  <c r="L361" i="2"/>
  <c r="M361" i="2"/>
  <c r="N361" i="2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P364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72" i="2"/>
  <c r="K372" i="2"/>
  <c r="D373" i="2"/>
  <c r="L376" i="2"/>
  <c r="O376" i="2" s="1"/>
  <c r="M376" i="2"/>
  <c r="N376" i="2"/>
  <c r="P376" i="2"/>
  <c r="Q376" i="2"/>
  <c r="T376" i="2" s="1"/>
  <c r="R376" i="2"/>
  <c r="U376" i="2" s="1"/>
  <c r="S376" i="2"/>
  <c r="O379" i="2"/>
  <c r="P379" i="2"/>
  <c r="T379" i="2"/>
  <c r="U379" i="2"/>
  <c r="L380" i="2"/>
  <c r="L378" i="2" s="1"/>
  <c r="O378" i="2" s="1"/>
  <c r="M380" i="2"/>
  <c r="N380" i="2"/>
  <c r="N378" i="2" s="1"/>
  <c r="Q380" i="2"/>
  <c r="R380" i="2"/>
  <c r="R378" i="2" s="1"/>
  <c r="S380" i="2"/>
  <c r="S378" i="2" s="1"/>
  <c r="Q381" i="2"/>
  <c r="R381" i="2"/>
  <c r="U381" i="2" s="1"/>
  <c r="S381" i="2"/>
  <c r="T381" i="2"/>
  <c r="O382" i="2"/>
  <c r="P382" i="2"/>
  <c r="T382" i="2"/>
  <c r="U382" i="2"/>
  <c r="L383" i="2"/>
  <c r="M383" i="2"/>
  <c r="M381" i="2" s="1"/>
  <c r="P381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K391" i="2" s="1"/>
  <c r="J391" i="2"/>
  <c r="L392" i="2"/>
  <c r="O392" i="2" s="1"/>
  <c r="L393" i="2"/>
  <c r="O393" i="2" s="1"/>
  <c r="M393" i="2"/>
  <c r="N393" i="2"/>
  <c r="Q393" i="2"/>
  <c r="T393" i="2" s="1"/>
  <c r="R393" i="2"/>
  <c r="U393" i="2" s="1"/>
  <c r="S393" i="2"/>
  <c r="L394" i="2"/>
  <c r="M394" i="2"/>
  <c r="P394" i="2" s="1"/>
  <c r="N394" i="2"/>
  <c r="O394" i="2"/>
  <c r="L395" i="2"/>
  <c r="O395" i="2" s="1"/>
  <c r="M395" i="2"/>
  <c r="N395" i="2"/>
  <c r="P395" i="2"/>
  <c r="O396" i="2"/>
  <c r="P396" i="2"/>
  <c r="T396" i="2"/>
  <c r="U396" i="2"/>
  <c r="O397" i="2"/>
  <c r="P397" i="2"/>
  <c r="Q397" i="2"/>
  <c r="R397" i="2"/>
  <c r="S397" i="2"/>
  <c r="S395" i="2" s="1"/>
  <c r="L398" i="2"/>
  <c r="M398" i="2"/>
  <c r="P398" i="2" s="1"/>
  <c r="N398" i="2"/>
  <c r="O398" i="2"/>
  <c r="Q398" i="2"/>
  <c r="T398" i="2" s="1"/>
  <c r="R398" i="2"/>
  <c r="S398" i="2"/>
  <c r="U398" i="2"/>
  <c r="O399" i="2"/>
  <c r="P399" i="2"/>
  <c r="T399" i="2"/>
  <c r="U399" i="2"/>
  <c r="O400" i="2"/>
  <c r="P400" i="2"/>
  <c r="T400" i="2"/>
  <c r="U400" i="2"/>
  <c r="L414" i="2"/>
  <c r="O414" i="2" s="1"/>
  <c r="M414" i="2"/>
  <c r="N414" i="2"/>
  <c r="Q414" i="2"/>
  <c r="T414" i="2" s="1"/>
  <c r="R414" i="2"/>
  <c r="U414" i="2" s="1"/>
  <c r="S414" i="2"/>
  <c r="O417" i="2"/>
  <c r="P417" i="2"/>
  <c r="T417" i="2"/>
  <c r="U417" i="2"/>
  <c r="L418" i="2"/>
  <c r="M418" i="2"/>
  <c r="M416" i="2" s="1"/>
  <c r="N418" i="2"/>
  <c r="Q418" i="2"/>
  <c r="Q415" i="2" s="1"/>
  <c r="R418" i="2"/>
  <c r="R415" i="2" s="1"/>
  <c r="S418" i="2"/>
  <c r="Q419" i="2"/>
  <c r="T419" i="2" s="1"/>
  <c r="R419" i="2"/>
  <c r="U419" i="2" s="1"/>
  <c r="S419" i="2"/>
  <c r="O420" i="2"/>
  <c r="P420" i="2"/>
  <c r="T420" i="2"/>
  <c r="U420" i="2"/>
  <c r="L421" i="2"/>
  <c r="O421" i="2" s="1"/>
  <c r="M421" i="2"/>
  <c r="M419" i="2" s="1"/>
  <c r="P419" i="2" s="1"/>
  <c r="N421" i="2"/>
  <c r="T421" i="2"/>
  <c r="U421" i="2"/>
  <c r="I424" i="2"/>
  <c r="K424" i="2" s="1"/>
  <c r="J424" i="2"/>
  <c r="I425" i="2"/>
  <c r="K425" i="2" s="1"/>
  <c r="J425" i="2"/>
  <c r="I432" i="2"/>
  <c r="J432" i="2"/>
  <c r="I433" i="2"/>
  <c r="K433" i="2" s="1"/>
  <c r="J433" i="2"/>
  <c r="I440" i="2"/>
  <c r="I423" i="2" s="1"/>
  <c r="I441" i="2"/>
  <c r="J446" i="2"/>
  <c r="J440" i="2" s="1"/>
  <c r="J423" i="2" s="1"/>
  <c r="J412" i="2" s="1"/>
  <c r="J447" i="2"/>
  <c r="J441" i="2" s="1"/>
  <c r="I457" i="2"/>
  <c r="I458" i="2"/>
  <c r="J459" i="2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O494" i="2" s="1"/>
  <c r="M494" i="2"/>
  <c r="N494" i="2"/>
  <c r="Q494" i="2"/>
  <c r="R494" i="2"/>
  <c r="U494" i="2" s="1"/>
  <c r="S494" i="2"/>
  <c r="O497" i="2"/>
  <c r="P497" i="2"/>
  <c r="T497" i="2"/>
  <c r="U497" i="2"/>
  <c r="L498" i="2"/>
  <c r="M498" i="2"/>
  <c r="N498" i="2"/>
  <c r="Q498" i="2"/>
  <c r="R498" i="2"/>
  <c r="R495" i="2" s="1"/>
  <c r="U495" i="2" s="1"/>
  <c r="S498" i="2"/>
  <c r="S495" i="2" s="1"/>
  <c r="S493" i="2" s="1"/>
  <c r="Q499" i="2"/>
  <c r="R499" i="2"/>
  <c r="S499" i="2"/>
  <c r="T499" i="2"/>
  <c r="U499" i="2"/>
  <c r="O500" i="2"/>
  <c r="P500" i="2"/>
  <c r="T500" i="2"/>
  <c r="U500" i="2"/>
  <c r="L501" i="2"/>
  <c r="M501" i="2"/>
  <c r="P501" i="2" s="1"/>
  <c r="N501" i="2"/>
  <c r="N499" i="2" s="1"/>
  <c r="T501" i="2"/>
  <c r="U501" i="2"/>
  <c r="I503" i="2"/>
  <c r="I492" i="2" s="1"/>
  <c r="K492" i="2" s="1"/>
  <c r="I504" i="2"/>
  <c r="K504" i="2" s="1"/>
  <c r="I505" i="2"/>
  <c r="K505" i="2" s="1"/>
  <c r="I506" i="2"/>
  <c r="I507" i="2"/>
  <c r="K507" i="2" s="1"/>
  <c r="K508" i="2"/>
  <c r="I509" i="2"/>
  <c r="K509" i="2" s="1"/>
  <c r="I512" i="2"/>
  <c r="J512" i="2"/>
  <c r="K512" i="2"/>
  <c r="R513" i="2"/>
  <c r="U513" i="2" s="1"/>
  <c r="L514" i="2"/>
  <c r="M514" i="2"/>
  <c r="N514" i="2"/>
  <c r="O514" i="2"/>
  <c r="P514" i="2"/>
  <c r="Q514" i="2"/>
  <c r="R514" i="2"/>
  <c r="S514" i="2"/>
  <c r="S513" i="2" s="1"/>
  <c r="T514" i="2"/>
  <c r="U514" i="2"/>
  <c r="Q515" i="2"/>
  <c r="R515" i="2"/>
  <c r="S515" i="2"/>
  <c r="U515" i="2"/>
  <c r="Q516" i="2"/>
  <c r="T516" i="2" s="1"/>
  <c r="R516" i="2"/>
  <c r="U516" i="2" s="1"/>
  <c r="S516" i="2"/>
  <c r="O517" i="2"/>
  <c r="P517" i="2"/>
  <c r="T517" i="2"/>
  <c r="U517" i="2"/>
  <c r="L518" i="2"/>
  <c r="O518" i="2" s="1"/>
  <c r="M518" i="2"/>
  <c r="P518" i="2" s="1"/>
  <c r="N518" i="2"/>
  <c r="N516" i="2" s="1"/>
  <c r="T518" i="2"/>
  <c r="U518" i="2"/>
  <c r="Q519" i="2"/>
  <c r="R519" i="2"/>
  <c r="U519" i="2" s="1"/>
  <c r="S519" i="2"/>
  <c r="T519" i="2"/>
  <c r="O520" i="2"/>
  <c r="P520" i="2"/>
  <c r="T520" i="2"/>
  <c r="U520" i="2"/>
  <c r="L521" i="2"/>
  <c r="M521" i="2"/>
  <c r="N521" i="2"/>
  <c r="N519" i="2" s="1"/>
  <c r="T521" i="2"/>
  <c r="U521" i="2"/>
  <c r="K523" i="2"/>
  <c r="K524" i="2"/>
  <c r="I533" i="2"/>
  <c r="K533" i="2" s="1"/>
  <c r="J533" i="2"/>
  <c r="L535" i="2"/>
  <c r="M535" i="2"/>
  <c r="P535" i="2" s="1"/>
  <c r="N535" i="2"/>
  <c r="O535" i="2"/>
  <c r="Q535" i="2"/>
  <c r="R535" i="2"/>
  <c r="S535" i="2"/>
  <c r="U535" i="2"/>
  <c r="Q536" i="2"/>
  <c r="T536" i="2" s="1"/>
  <c r="R536" i="2"/>
  <c r="U536" i="2" s="1"/>
  <c r="S536" i="2"/>
  <c r="Q537" i="2"/>
  <c r="T537" i="2" s="1"/>
  <c r="R537" i="2"/>
  <c r="S537" i="2"/>
  <c r="U537" i="2"/>
  <c r="O538" i="2"/>
  <c r="P538" i="2"/>
  <c r="T538" i="2"/>
  <c r="U538" i="2"/>
  <c r="L539" i="2"/>
  <c r="M539" i="2"/>
  <c r="P539" i="2" s="1"/>
  <c r="N539" i="2"/>
  <c r="N537" i="2" s="1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O542" i="2" s="1"/>
  <c r="M542" i="2"/>
  <c r="N542" i="2"/>
  <c r="N540" i="2" s="1"/>
  <c r="T542" i="2"/>
  <c r="U542" i="2"/>
  <c r="I554" i="2"/>
  <c r="K554" i="2" s="1"/>
  <c r="J554" i="2"/>
  <c r="L556" i="2"/>
  <c r="O556" i="2" s="1"/>
  <c r="M556" i="2"/>
  <c r="N556" i="2"/>
  <c r="Q556" i="2"/>
  <c r="T556" i="2" s="1"/>
  <c r="R556" i="2"/>
  <c r="S556" i="2"/>
  <c r="Q557" i="2"/>
  <c r="T557" i="2" s="1"/>
  <c r="R557" i="2"/>
  <c r="S557" i="2"/>
  <c r="U557" i="2"/>
  <c r="Q558" i="2"/>
  <c r="T558" i="2" s="1"/>
  <c r="R558" i="2"/>
  <c r="S558" i="2"/>
  <c r="U558" i="2"/>
  <c r="O559" i="2"/>
  <c r="P559" i="2"/>
  <c r="T559" i="2"/>
  <c r="U559" i="2"/>
  <c r="L560" i="2"/>
  <c r="L558" i="2" s="1"/>
  <c r="O558" i="2" s="1"/>
  <c r="M560" i="2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M563" i="2"/>
  <c r="M561" i="2" s="1"/>
  <c r="P561" i="2" s="1"/>
  <c r="N563" i="2"/>
  <c r="N561" i="2" s="1"/>
  <c r="T563" i="2"/>
  <c r="U563" i="2"/>
  <c r="I575" i="2"/>
  <c r="K575" i="2" s="1"/>
  <c r="J575" i="2"/>
  <c r="L577" i="2"/>
  <c r="O577" i="2" s="1"/>
  <c r="M577" i="2"/>
  <c r="N577" i="2"/>
  <c r="P577" i="2"/>
  <c r="Q577" i="2"/>
  <c r="T577" i="2" s="1"/>
  <c r="R577" i="2"/>
  <c r="U577" i="2" s="1"/>
  <c r="S577" i="2"/>
  <c r="Q578" i="2"/>
  <c r="T578" i="2" s="1"/>
  <c r="R578" i="2"/>
  <c r="U578" i="2" s="1"/>
  <c r="S578" i="2"/>
  <c r="S576" i="2" s="1"/>
  <c r="Q579" i="2"/>
  <c r="T579" i="2" s="1"/>
  <c r="R579" i="2"/>
  <c r="U579" i="2" s="1"/>
  <c r="S579" i="2"/>
  <c r="O580" i="2"/>
  <c r="P580" i="2"/>
  <c r="T580" i="2"/>
  <c r="U580" i="2"/>
  <c r="L581" i="2"/>
  <c r="L579" i="2" s="1"/>
  <c r="O579" i="2" s="1"/>
  <c r="M581" i="2"/>
  <c r="N581" i="2"/>
  <c r="T581" i="2"/>
  <c r="U581" i="2"/>
  <c r="Q582" i="2"/>
  <c r="R582" i="2"/>
  <c r="U582" i="2" s="1"/>
  <c r="S582" i="2"/>
  <c r="T582" i="2"/>
  <c r="O583" i="2"/>
  <c r="P583" i="2"/>
  <c r="T583" i="2"/>
  <c r="U583" i="2"/>
  <c r="L584" i="2"/>
  <c r="M584" i="2"/>
  <c r="N584" i="2"/>
  <c r="N582" i="2" s="1"/>
  <c r="T584" i="2"/>
  <c r="U584" i="2"/>
  <c r="L600" i="2"/>
  <c r="M600" i="2"/>
  <c r="N600" i="2"/>
  <c r="Q600" i="2"/>
  <c r="R600" i="2"/>
  <c r="S600" i="2"/>
  <c r="O603" i="2"/>
  <c r="P603" i="2"/>
  <c r="T603" i="2"/>
  <c r="U603" i="2"/>
  <c r="L604" i="2"/>
  <c r="O604" i="2" s="1"/>
  <c r="M604" i="2"/>
  <c r="N604" i="2"/>
  <c r="N602" i="2" s="1"/>
  <c r="Q604" i="2"/>
  <c r="Q602" i="2" s="1"/>
  <c r="T602" i="2" s="1"/>
  <c r="R604" i="2"/>
  <c r="R602" i="2" s="1"/>
  <c r="U602" i="2" s="1"/>
  <c r="S604" i="2"/>
  <c r="S602" i="2" s="1"/>
  <c r="O606" i="2"/>
  <c r="P606" i="2"/>
  <c r="T606" i="2"/>
  <c r="U606" i="2"/>
  <c r="L607" i="2"/>
  <c r="L605" i="2" s="1"/>
  <c r="O605" i="2" s="1"/>
  <c r="M607" i="2"/>
  <c r="N607" i="2"/>
  <c r="N605" i="2" s="1"/>
  <c r="Q607" i="2"/>
  <c r="Q605" i="2" s="1"/>
  <c r="T605" i="2" s="1"/>
  <c r="R607" i="2"/>
  <c r="S607" i="2"/>
  <c r="S605" i="2" s="1"/>
  <c r="M616" i="2"/>
  <c r="P616" i="2" s="1"/>
  <c r="L617" i="2"/>
  <c r="L616" i="2" s="1"/>
  <c r="O616" i="2" s="1"/>
  <c r="M617" i="2"/>
  <c r="N617" i="2"/>
  <c r="N616" i="2" s="1"/>
  <c r="P617" i="2"/>
  <c r="Q617" i="2"/>
  <c r="R617" i="2"/>
  <c r="U617" i="2" s="1"/>
  <c r="S617" i="2"/>
  <c r="T617" i="2"/>
  <c r="L618" i="2"/>
  <c r="O618" i="2" s="1"/>
  <c r="M618" i="2"/>
  <c r="N618" i="2"/>
  <c r="P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9" i="2" s="1"/>
  <c r="R621" i="2"/>
  <c r="R618" i="2" s="1"/>
  <c r="S621" i="2"/>
  <c r="L622" i="2"/>
  <c r="M622" i="2"/>
  <c r="N622" i="2"/>
  <c r="O622" i="2"/>
  <c r="P622" i="2"/>
  <c r="Q622" i="2"/>
  <c r="T622" i="2" s="1"/>
  <c r="R622" i="2"/>
  <c r="S622" i="2"/>
  <c r="U622" i="2"/>
  <c r="O623" i="2"/>
  <c r="P623" i="2"/>
  <c r="T623" i="2"/>
  <c r="U623" i="2"/>
  <c r="O624" i="2"/>
  <c r="P624" i="2"/>
  <c r="T624" i="2"/>
  <c r="U624" i="2"/>
  <c r="I626" i="2"/>
  <c r="K632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N643" i="2"/>
  <c r="N642" i="2" s="1"/>
  <c r="Q643" i="2"/>
  <c r="R643" i="2"/>
  <c r="S643" i="2"/>
  <c r="T643" i="2"/>
  <c r="U643" i="2"/>
  <c r="L644" i="2"/>
  <c r="M644" i="2"/>
  <c r="N644" i="2"/>
  <c r="O644" i="2"/>
  <c r="P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Q645" i="2" s="1"/>
  <c r="R647" i="2"/>
  <c r="S647" i="2"/>
  <c r="L648" i="2"/>
  <c r="M648" i="2"/>
  <c r="N648" i="2"/>
  <c r="O648" i="2"/>
  <c r="P648" i="2"/>
  <c r="Q648" i="2"/>
  <c r="R648" i="2"/>
  <c r="S648" i="2"/>
  <c r="T648" i="2"/>
  <c r="U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0" i="2"/>
  <c r="O690" i="2" s="1"/>
  <c r="L691" i="2"/>
  <c r="O691" i="2" s="1"/>
  <c r="M691" i="2"/>
  <c r="N691" i="2"/>
  <c r="Q691" i="2"/>
  <c r="R691" i="2"/>
  <c r="S691" i="2"/>
  <c r="U691" i="2"/>
  <c r="L692" i="2"/>
  <c r="M692" i="2"/>
  <c r="P692" i="2" s="1"/>
  <c r="N692" i="2"/>
  <c r="O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R693" i="2" s="1"/>
  <c r="S695" i="2"/>
  <c r="L696" i="2"/>
  <c r="M696" i="2"/>
  <c r="P696" i="2" s="1"/>
  <c r="N696" i="2"/>
  <c r="O696" i="2"/>
  <c r="Q696" i="2"/>
  <c r="T696" i="2" s="1"/>
  <c r="R696" i="2"/>
  <c r="S696" i="2"/>
  <c r="U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P715" i="2" s="1"/>
  <c r="N715" i="2"/>
  <c r="Q715" i="2"/>
  <c r="R715" i="2"/>
  <c r="S715" i="2"/>
  <c r="L716" i="2"/>
  <c r="M716" i="2"/>
  <c r="N716" i="2"/>
  <c r="O716" i="2"/>
  <c r="Q716" i="2"/>
  <c r="R716" i="2"/>
  <c r="U716" i="2" s="1"/>
  <c r="S716" i="2"/>
  <c r="T716" i="2"/>
  <c r="L717" i="2"/>
  <c r="M717" i="2"/>
  <c r="N717" i="2"/>
  <c r="O717" i="2"/>
  <c r="P717" i="2"/>
  <c r="Q717" i="2"/>
  <c r="T717" i="2" s="1"/>
  <c r="R717" i="2"/>
  <c r="S717" i="2"/>
  <c r="U717" i="2"/>
  <c r="O718" i="2"/>
  <c r="P718" i="2"/>
  <c r="T718" i="2"/>
  <c r="U718" i="2"/>
  <c r="O719" i="2"/>
  <c r="P719" i="2"/>
  <c r="T719" i="2"/>
  <c r="U719" i="2"/>
  <c r="L720" i="2"/>
  <c r="M720" i="2"/>
  <c r="N720" i="2"/>
  <c r="O720" i="2"/>
  <c r="P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J727" i="2"/>
  <c r="L729" i="2"/>
  <c r="M729" i="2"/>
  <c r="P729" i="2" s="1"/>
  <c r="N729" i="2"/>
  <c r="Q729" i="2"/>
  <c r="R729" i="2"/>
  <c r="S729" i="2"/>
  <c r="L730" i="2"/>
  <c r="O730" i="2" s="1"/>
  <c r="M730" i="2"/>
  <c r="N730" i="2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R733" i="2"/>
  <c r="S733" i="2"/>
  <c r="S731" i="2" s="1"/>
  <c r="L734" i="2"/>
  <c r="O734" i="2" s="1"/>
  <c r="M734" i="2"/>
  <c r="P734" i="2" s="1"/>
  <c r="N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Q761" i="2"/>
  <c r="R761" i="2"/>
  <c r="S761" i="2"/>
  <c r="T761" i="2"/>
  <c r="L762" i="2"/>
  <c r="O762" i="2" s="1"/>
  <c r="M762" i="2"/>
  <c r="P762" i="2" s="1"/>
  <c r="N762" i="2"/>
  <c r="N760" i="2" s="1"/>
  <c r="L763" i="2"/>
  <c r="O763" i="2" s="1"/>
  <c r="M763" i="2"/>
  <c r="N763" i="2"/>
  <c r="P763" i="2"/>
  <c r="O764" i="2"/>
  <c r="P764" i="2"/>
  <c r="T764" i="2"/>
  <c r="U764" i="2"/>
  <c r="O765" i="2"/>
  <c r="P765" i="2"/>
  <c r="Q765" i="2"/>
  <c r="R765" i="2"/>
  <c r="S765" i="2"/>
  <c r="L766" i="2"/>
  <c r="O766" i="2" s="1"/>
  <c r="M766" i="2"/>
  <c r="P766" i="2" s="1"/>
  <c r="N766" i="2"/>
  <c r="Q766" i="2"/>
  <c r="T766" i="2" s="1"/>
  <c r="R766" i="2"/>
  <c r="S766" i="2"/>
  <c r="U766" i="2"/>
  <c r="O767" i="2"/>
  <c r="P767" i="2"/>
  <c r="T767" i="2"/>
  <c r="U767" i="2"/>
  <c r="O768" i="2"/>
  <c r="P768" i="2"/>
  <c r="T768" i="2"/>
  <c r="U768" i="2"/>
  <c r="I770" i="2"/>
  <c r="K770" i="2" s="1"/>
  <c r="I772" i="2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J758" i="1" s="1"/>
  <c r="I772" i="1"/>
  <c r="J770" i="1"/>
  <c r="I770" i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T767" i="1" s="1"/>
  <c r="N767" i="1"/>
  <c r="M767" i="1"/>
  <c r="L767" i="1"/>
  <c r="S765" i="1"/>
  <c r="R765" i="1"/>
  <c r="Q765" i="1"/>
  <c r="Q762" i="1" s="1"/>
  <c r="N765" i="1"/>
  <c r="M765" i="1"/>
  <c r="P765" i="1" s="1"/>
  <c r="L765" i="1"/>
  <c r="O765" i="1" s="1"/>
  <c r="S764" i="1"/>
  <c r="R764" i="1"/>
  <c r="Q764" i="1"/>
  <c r="N764" i="1"/>
  <c r="N761" i="1" s="1"/>
  <c r="M764" i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S735" i="1"/>
  <c r="R735" i="1"/>
  <c r="U735" i="1" s="1"/>
  <c r="Q735" i="1"/>
  <c r="T735" i="1" s="1"/>
  <c r="N735" i="1"/>
  <c r="M735" i="1"/>
  <c r="P735" i="1" s="1"/>
  <c r="L735" i="1"/>
  <c r="O735" i="1" s="1"/>
  <c r="S733" i="1"/>
  <c r="R733" i="1"/>
  <c r="Q733" i="1"/>
  <c r="N733" i="1"/>
  <c r="M733" i="1"/>
  <c r="L733" i="1"/>
  <c r="O733" i="1" s="1"/>
  <c r="S732" i="1"/>
  <c r="R732" i="1"/>
  <c r="Q732" i="1"/>
  <c r="N732" i="1"/>
  <c r="M732" i="1"/>
  <c r="P732" i="1" s="1"/>
  <c r="L732" i="1"/>
  <c r="O732" i="1" s="1"/>
  <c r="I727" i="1"/>
  <c r="I726" i="1"/>
  <c r="S722" i="1"/>
  <c r="R722" i="1"/>
  <c r="U722" i="1" s="1"/>
  <c r="Q722" i="1"/>
  <c r="N722" i="1"/>
  <c r="M722" i="1"/>
  <c r="P722" i="1" s="1"/>
  <c r="L722" i="1"/>
  <c r="S721" i="1"/>
  <c r="R721" i="1"/>
  <c r="U721" i="1" s="1"/>
  <c r="Q721" i="1"/>
  <c r="T721" i="1" s="1"/>
  <c r="N721" i="1"/>
  <c r="M721" i="1"/>
  <c r="P721" i="1" s="1"/>
  <c r="L721" i="1"/>
  <c r="O721" i="1" s="1"/>
  <c r="S719" i="1"/>
  <c r="R719" i="1"/>
  <c r="Q719" i="1"/>
  <c r="N719" i="1"/>
  <c r="N716" i="1" s="1"/>
  <c r="M719" i="1"/>
  <c r="P719" i="1" s="1"/>
  <c r="L719" i="1"/>
  <c r="O719" i="1" s="1"/>
  <c r="S718" i="1"/>
  <c r="R718" i="1"/>
  <c r="U718" i="1" s="1"/>
  <c r="Q718" i="1"/>
  <c r="T718" i="1" s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N698" i="1"/>
  <c r="M698" i="1"/>
  <c r="L698" i="1"/>
  <c r="S697" i="1"/>
  <c r="S696" i="1" s="1"/>
  <c r="R697" i="1"/>
  <c r="Q697" i="1"/>
  <c r="T697" i="1" s="1"/>
  <c r="N697" i="1"/>
  <c r="M697" i="1"/>
  <c r="P697" i="1" s="1"/>
  <c r="L697" i="1"/>
  <c r="O697" i="1" s="1"/>
  <c r="S695" i="1"/>
  <c r="R695" i="1"/>
  <c r="R692" i="1" s="1"/>
  <c r="Q695" i="1"/>
  <c r="N695" i="1"/>
  <c r="M695" i="1"/>
  <c r="P695" i="1" s="1"/>
  <c r="L695" i="1"/>
  <c r="S694" i="1"/>
  <c r="R694" i="1"/>
  <c r="U694" i="1" s="1"/>
  <c r="Q694" i="1"/>
  <c r="T694" i="1" s="1"/>
  <c r="N694" i="1"/>
  <c r="M694" i="1"/>
  <c r="L694" i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L650" i="1"/>
  <c r="O650" i="1" s="1"/>
  <c r="S649" i="1"/>
  <c r="R649" i="1"/>
  <c r="U649" i="1" s="1"/>
  <c r="Q649" i="1"/>
  <c r="T649" i="1" s="1"/>
  <c r="N649" i="1"/>
  <c r="M649" i="1"/>
  <c r="P649" i="1" s="1"/>
  <c r="L649" i="1"/>
  <c r="S647" i="1"/>
  <c r="R647" i="1"/>
  <c r="Q647" i="1"/>
  <c r="N647" i="1"/>
  <c r="M647" i="1"/>
  <c r="L647" i="1"/>
  <c r="O647" i="1" s="1"/>
  <c r="S646" i="1"/>
  <c r="R646" i="1"/>
  <c r="Q646" i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U624" i="1" s="1"/>
  <c r="Q624" i="1"/>
  <c r="N624" i="1"/>
  <c r="M624" i="1"/>
  <c r="L624" i="1"/>
  <c r="O624" i="1" s="1"/>
  <c r="S623" i="1"/>
  <c r="R623" i="1"/>
  <c r="Q623" i="1"/>
  <c r="N623" i="1"/>
  <c r="M623" i="1"/>
  <c r="P623" i="1" s="1"/>
  <c r="L623" i="1"/>
  <c r="S621" i="1"/>
  <c r="R621" i="1"/>
  <c r="R618" i="1" s="1"/>
  <c r="Q621" i="1"/>
  <c r="N621" i="1"/>
  <c r="M621" i="1"/>
  <c r="M618" i="1" s="1"/>
  <c r="L621" i="1"/>
  <c r="O621" i="1" s="1"/>
  <c r="S620" i="1"/>
  <c r="S617" i="1" s="1"/>
  <c r="R620" i="1"/>
  <c r="R617" i="1" s="1"/>
  <c r="Q620" i="1"/>
  <c r="N620" i="1"/>
  <c r="N617" i="1" s="1"/>
  <c r="M620" i="1"/>
  <c r="P620" i="1" s="1"/>
  <c r="L620" i="1"/>
  <c r="L617" i="1" s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U606" i="1" s="1"/>
  <c r="Q606" i="1"/>
  <c r="T606" i="1" s="1"/>
  <c r="N606" i="1"/>
  <c r="M606" i="1"/>
  <c r="L606" i="1"/>
  <c r="O606" i="1" s="1"/>
  <c r="S604" i="1"/>
  <c r="R604" i="1"/>
  <c r="U604" i="1" s="1"/>
  <c r="Q604" i="1"/>
  <c r="T604" i="1" s="1"/>
  <c r="N604" i="1"/>
  <c r="M604" i="1"/>
  <c r="L604" i="1"/>
  <c r="S603" i="1"/>
  <c r="S602" i="1" s="1"/>
  <c r="R603" i="1"/>
  <c r="Q603" i="1"/>
  <c r="N603" i="1"/>
  <c r="N600" i="1" s="1"/>
  <c r="M603" i="1"/>
  <c r="P603" i="1" s="1"/>
  <c r="L603" i="1"/>
  <c r="O603" i="1" s="1"/>
  <c r="J587" i="1"/>
  <c r="J575" i="1" s="1"/>
  <c r="I587" i="1"/>
  <c r="J586" i="1"/>
  <c r="I586" i="1"/>
  <c r="S584" i="1"/>
  <c r="R584" i="1"/>
  <c r="Q584" i="1"/>
  <c r="N584" i="1"/>
  <c r="M584" i="1"/>
  <c r="P584" i="1" s="1"/>
  <c r="L584" i="1"/>
  <c r="S583" i="1"/>
  <c r="R583" i="1"/>
  <c r="U583" i="1" s="1"/>
  <c r="Q583" i="1"/>
  <c r="T583" i="1" s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M581" i="1"/>
  <c r="L581" i="1"/>
  <c r="S580" i="1"/>
  <c r="R580" i="1"/>
  <c r="Q580" i="1"/>
  <c r="Q579" i="1" s="1"/>
  <c r="T579" i="1" s="1"/>
  <c r="N580" i="1"/>
  <c r="M580" i="1"/>
  <c r="L580" i="1"/>
  <c r="J565" i="1"/>
  <c r="J554" i="1" s="1"/>
  <c r="I565" i="1"/>
  <c r="I554" i="1" s="1"/>
  <c r="S563" i="1"/>
  <c r="R563" i="1"/>
  <c r="U563" i="1" s="1"/>
  <c r="Q563" i="1"/>
  <c r="T563" i="1" s="1"/>
  <c r="N563" i="1"/>
  <c r="M563" i="1"/>
  <c r="L563" i="1"/>
  <c r="S562" i="1"/>
  <c r="R562" i="1"/>
  <c r="Q562" i="1"/>
  <c r="N562" i="1"/>
  <c r="M562" i="1"/>
  <c r="P562" i="1" s="1"/>
  <c r="L562" i="1"/>
  <c r="S560" i="1"/>
  <c r="R560" i="1"/>
  <c r="Q560" i="1"/>
  <c r="N560" i="1"/>
  <c r="M560" i="1"/>
  <c r="L560" i="1"/>
  <c r="S559" i="1"/>
  <c r="R559" i="1"/>
  <c r="U559" i="1" s="1"/>
  <c r="Q559" i="1"/>
  <c r="N559" i="1"/>
  <c r="M559" i="1"/>
  <c r="P559" i="1" s="1"/>
  <c r="L559" i="1"/>
  <c r="O559" i="1" s="1"/>
  <c r="J544" i="1"/>
  <c r="J533" i="1" s="1"/>
  <c r="I544" i="1"/>
  <c r="S542" i="1"/>
  <c r="R542" i="1"/>
  <c r="Q542" i="1"/>
  <c r="T542" i="1" s="1"/>
  <c r="N542" i="1"/>
  <c r="M542" i="1"/>
  <c r="L542" i="1"/>
  <c r="S541" i="1"/>
  <c r="R541" i="1"/>
  <c r="Q541" i="1"/>
  <c r="N541" i="1"/>
  <c r="M541" i="1"/>
  <c r="L541" i="1"/>
  <c r="S539" i="1"/>
  <c r="R539" i="1"/>
  <c r="U539" i="1" s="1"/>
  <c r="Q539" i="1"/>
  <c r="T539" i="1" s="1"/>
  <c r="N539" i="1"/>
  <c r="M539" i="1"/>
  <c r="L539" i="1"/>
  <c r="O539" i="1" s="1"/>
  <c r="S538" i="1"/>
  <c r="R538" i="1"/>
  <c r="Q538" i="1"/>
  <c r="T538" i="1" s="1"/>
  <c r="N538" i="1"/>
  <c r="M538" i="1"/>
  <c r="L538" i="1"/>
  <c r="K524" i="1"/>
  <c r="K523" i="1"/>
  <c r="S521" i="1"/>
  <c r="R521" i="1"/>
  <c r="U521" i="1" s="1"/>
  <c r="Q521" i="1"/>
  <c r="T521" i="1" s="1"/>
  <c r="N521" i="1"/>
  <c r="M521" i="1"/>
  <c r="L521" i="1"/>
  <c r="O521" i="1" s="1"/>
  <c r="S520" i="1"/>
  <c r="S519" i="1" s="1"/>
  <c r="R520" i="1"/>
  <c r="Q520" i="1"/>
  <c r="N520" i="1"/>
  <c r="M520" i="1"/>
  <c r="P520" i="1" s="1"/>
  <c r="L520" i="1"/>
  <c r="S518" i="1"/>
  <c r="S515" i="1" s="1"/>
  <c r="R518" i="1"/>
  <c r="Q518" i="1"/>
  <c r="T518" i="1" s="1"/>
  <c r="N518" i="1"/>
  <c r="M518" i="1"/>
  <c r="P518" i="1" s="1"/>
  <c r="L518" i="1"/>
  <c r="O518" i="1" s="1"/>
  <c r="S517" i="1"/>
  <c r="S516" i="1" s="1"/>
  <c r="R517" i="1"/>
  <c r="Q517" i="1"/>
  <c r="N517" i="1"/>
  <c r="N514" i="1" s="1"/>
  <c r="M517" i="1"/>
  <c r="P517" i="1" s="1"/>
  <c r="L517" i="1"/>
  <c r="J512" i="1"/>
  <c r="I512" i="1"/>
  <c r="K512" i="1" s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I492" i="1" s="1"/>
  <c r="S501" i="1"/>
  <c r="R501" i="1"/>
  <c r="Q501" i="1"/>
  <c r="N501" i="1"/>
  <c r="M501" i="1"/>
  <c r="P501" i="1" s="1"/>
  <c r="L501" i="1"/>
  <c r="S500" i="1"/>
  <c r="R500" i="1"/>
  <c r="U500" i="1" s="1"/>
  <c r="Q500" i="1"/>
  <c r="T500" i="1" s="1"/>
  <c r="N500" i="1"/>
  <c r="M500" i="1"/>
  <c r="L500" i="1"/>
  <c r="O500" i="1" s="1"/>
  <c r="S498" i="1"/>
  <c r="R498" i="1"/>
  <c r="Q498" i="1"/>
  <c r="N498" i="1"/>
  <c r="M498" i="1"/>
  <c r="L498" i="1"/>
  <c r="S497" i="1"/>
  <c r="S496" i="1" s="1"/>
  <c r="R497" i="1"/>
  <c r="U497" i="1" s="1"/>
  <c r="Q497" i="1"/>
  <c r="N497" i="1"/>
  <c r="N494" i="1" s="1"/>
  <c r="M497" i="1"/>
  <c r="P497" i="1" s="1"/>
  <c r="L497" i="1"/>
  <c r="J491" i="1"/>
  <c r="J490" i="1"/>
  <c r="J489" i="1"/>
  <c r="J488" i="1"/>
  <c r="J487" i="1"/>
  <c r="J486" i="1"/>
  <c r="I485" i="1"/>
  <c r="I484" i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P421" i="1" s="1"/>
  <c r="L421" i="1"/>
  <c r="O421" i="1" s="1"/>
  <c r="S420" i="1"/>
  <c r="R420" i="1"/>
  <c r="U420" i="1" s="1"/>
  <c r="Q420" i="1"/>
  <c r="T420" i="1" s="1"/>
  <c r="N420" i="1"/>
  <c r="M420" i="1"/>
  <c r="L420" i="1"/>
  <c r="S418" i="1"/>
  <c r="R418" i="1"/>
  <c r="Q418" i="1"/>
  <c r="Q415" i="1" s="1"/>
  <c r="N418" i="1"/>
  <c r="N415" i="1" s="1"/>
  <c r="M418" i="1"/>
  <c r="L418" i="1"/>
  <c r="S417" i="1"/>
  <c r="R417" i="1"/>
  <c r="U417" i="1" s="1"/>
  <c r="Q417" i="1"/>
  <c r="N417" i="1"/>
  <c r="M417" i="1"/>
  <c r="P417" i="1" s="1"/>
  <c r="L417" i="1"/>
  <c r="S400" i="1"/>
  <c r="R400" i="1"/>
  <c r="Q400" i="1"/>
  <c r="T400" i="1" s="1"/>
  <c r="N400" i="1"/>
  <c r="M400" i="1"/>
  <c r="P400" i="1" s="1"/>
  <c r="L400" i="1"/>
  <c r="O400" i="1" s="1"/>
  <c r="S399" i="1"/>
  <c r="R399" i="1"/>
  <c r="Q399" i="1"/>
  <c r="N399" i="1"/>
  <c r="M399" i="1"/>
  <c r="P399" i="1" s="1"/>
  <c r="L399" i="1"/>
  <c r="S397" i="1"/>
  <c r="R397" i="1"/>
  <c r="U397" i="1" s="1"/>
  <c r="Q397" i="1"/>
  <c r="N397" i="1"/>
  <c r="N394" i="1" s="1"/>
  <c r="M397" i="1"/>
  <c r="P397" i="1" s="1"/>
  <c r="L397" i="1"/>
  <c r="S396" i="1"/>
  <c r="R396" i="1"/>
  <c r="Q396" i="1"/>
  <c r="N396" i="1"/>
  <c r="N393" i="1" s="1"/>
  <c r="M396" i="1"/>
  <c r="L396" i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S383" i="1"/>
  <c r="R383" i="1"/>
  <c r="U383" i="1" s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P382" i="1" s="1"/>
  <c r="L382" i="1"/>
  <c r="S380" i="1"/>
  <c r="R380" i="1"/>
  <c r="Q380" i="1"/>
  <c r="N380" i="1"/>
  <c r="M380" i="1"/>
  <c r="L380" i="1"/>
  <c r="L377" i="1" s="1"/>
  <c r="S379" i="1"/>
  <c r="S376" i="1" s="1"/>
  <c r="R379" i="1"/>
  <c r="U379" i="1" s="1"/>
  <c r="Q379" i="1"/>
  <c r="N379" i="1"/>
  <c r="M379" i="1"/>
  <c r="P379" i="1" s="1"/>
  <c r="L379" i="1"/>
  <c r="L378" i="1" s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P364" i="1" s="1"/>
  <c r="L364" i="1"/>
  <c r="O364" i="1" s="1"/>
  <c r="S363" i="1"/>
  <c r="R363" i="1"/>
  <c r="Q363" i="1"/>
  <c r="T363" i="1" s="1"/>
  <c r="N363" i="1"/>
  <c r="M363" i="1"/>
  <c r="L363" i="1"/>
  <c r="S361" i="1"/>
  <c r="R361" i="1"/>
  <c r="U361" i="1" s="1"/>
  <c r="Q361" i="1"/>
  <c r="T361" i="1" s="1"/>
  <c r="N361" i="1"/>
  <c r="M361" i="1"/>
  <c r="M358" i="1" s="1"/>
  <c r="L361" i="1"/>
  <c r="S360" i="1"/>
  <c r="S359" i="1" s="1"/>
  <c r="R360" i="1"/>
  <c r="Q360" i="1"/>
  <c r="T360" i="1" s="1"/>
  <c r="N360" i="1"/>
  <c r="M360" i="1"/>
  <c r="M357" i="1" s="1"/>
  <c r="L360" i="1"/>
  <c r="J354" i="1"/>
  <c r="J353" i="1"/>
  <c r="J352" i="1"/>
  <c r="D350" i="1"/>
  <c r="J349" i="1"/>
  <c r="J348" i="1"/>
  <c r="J347" i="1"/>
  <c r="J346" i="1"/>
  <c r="I346" i="1"/>
  <c r="J344" i="1"/>
  <c r="I344" i="1"/>
  <c r="K344" i="1" s="1"/>
  <c r="S341" i="1"/>
  <c r="R341" i="1"/>
  <c r="Q341" i="1"/>
  <c r="N341" i="1"/>
  <c r="M341" i="1"/>
  <c r="L341" i="1"/>
  <c r="S340" i="1"/>
  <c r="R340" i="1"/>
  <c r="U340" i="1" s="1"/>
  <c r="Q340" i="1"/>
  <c r="T340" i="1" s="1"/>
  <c r="N340" i="1"/>
  <c r="N339" i="1" s="1"/>
  <c r="M340" i="1"/>
  <c r="P340" i="1" s="1"/>
  <c r="L340" i="1"/>
  <c r="O340" i="1" s="1"/>
  <c r="S338" i="1"/>
  <c r="R338" i="1"/>
  <c r="R335" i="1" s="1"/>
  <c r="Q338" i="1"/>
  <c r="N338" i="1"/>
  <c r="M338" i="1"/>
  <c r="L338" i="1"/>
  <c r="S337" i="1"/>
  <c r="R337" i="1"/>
  <c r="Q337" i="1"/>
  <c r="N337" i="1"/>
  <c r="M337" i="1"/>
  <c r="L337" i="1"/>
  <c r="I332" i="1"/>
  <c r="J330" i="1"/>
  <c r="J319" i="1" s="1"/>
  <c r="I330" i="1"/>
  <c r="I319" i="1" s="1"/>
  <c r="S328" i="1"/>
  <c r="R328" i="1"/>
  <c r="Q328" i="1"/>
  <c r="N328" i="1"/>
  <c r="M328" i="1"/>
  <c r="P328" i="1" s="1"/>
  <c r="L328" i="1"/>
  <c r="S327" i="1"/>
  <c r="R327" i="1"/>
  <c r="U327" i="1" s="1"/>
  <c r="Q327" i="1"/>
  <c r="T327" i="1" s="1"/>
  <c r="N327" i="1"/>
  <c r="N326" i="1" s="1"/>
  <c r="M327" i="1"/>
  <c r="L327" i="1"/>
  <c r="O327" i="1" s="1"/>
  <c r="S325" i="1"/>
  <c r="R325" i="1"/>
  <c r="Q325" i="1"/>
  <c r="T325" i="1" s="1"/>
  <c r="N325" i="1"/>
  <c r="N322" i="1" s="1"/>
  <c r="M325" i="1"/>
  <c r="L325" i="1"/>
  <c r="S324" i="1"/>
  <c r="R324" i="1"/>
  <c r="U324" i="1" s="1"/>
  <c r="Q324" i="1"/>
  <c r="T324" i="1" s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N311" i="1"/>
  <c r="M311" i="1"/>
  <c r="P311" i="1" s="1"/>
  <c r="L311" i="1"/>
  <c r="O311" i="1" s="1"/>
  <c r="S310" i="1"/>
  <c r="R310" i="1"/>
  <c r="U310" i="1" s="1"/>
  <c r="Q310" i="1"/>
  <c r="T310" i="1" s="1"/>
  <c r="N310" i="1"/>
  <c r="N309" i="1" s="1"/>
  <c r="M310" i="1"/>
  <c r="L310" i="1"/>
  <c r="O310" i="1" s="1"/>
  <c r="S308" i="1"/>
  <c r="R308" i="1"/>
  <c r="Q308" i="1"/>
  <c r="N308" i="1"/>
  <c r="N305" i="1" s="1"/>
  <c r="M308" i="1"/>
  <c r="L308" i="1"/>
  <c r="S307" i="1"/>
  <c r="R307" i="1"/>
  <c r="U307" i="1" s="1"/>
  <c r="Q307" i="1"/>
  <c r="T307" i="1" s="1"/>
  <c r="N307" i="1"/>
  <c r="M307" i="1"/>
  <c r="L307" i="1"/>
  <c r="O307" i="1" s="1"/>
  <c r="J299" i="1"/>
  <c r="I299" i="1"/>
  <c r="J298" i="1"/>
  <c r="I298" i="1"/>
  <c r="J296" i="1"/>
  <c r="I296" i="1"/>
  <c r="J295" i="1"/>
  <c r="I295" i="1"/>
  <c r="J293" i="1"/>
  <c r="J280" i="1" s="1"/>
  <c r="I293" i="1"/>
  <c r="J292" i="1"/>
  <c r="J281" i="1" s="1"/>
  <c r="I292" i="1"/>
  <c r="S290" i="1"/>
  <c r="R290" i="1"/>
  <c r="Q290" i="1"/>
  <c r="T290" i="1" s="1"/>
  <c r="N290" i="1"/>
  <c r="M290" i="1"/>
  <c r="P290" i="1" s="1"/>
  <c r="L290" i="1"/>
  <c r="O290" i="1" s="1"/>
  <c r="S289" i="1"/>
  <c r="R289" i="1"/>
  <c r="Q289" i="1"/>
  <c r="T289" i="1" s="1"/>
  <c r="N289" i="1"/>
  <c r="M289" i="1"/>
  <c r="P289" i="1" s="1"/>
  <c r="L289" i="1"/>
  <c r="O289" i="1" s="1"/>
  <c r="S287" i="1"/>
  <c r="R287" i="1"/>
  <c r="U287" i="1" s="1"/>
  <c r="Q287" i="1"/>
  <c r="T287" i="1" s="1"/>
  <c r="N287" i="1"/>
  <c r="M287" i="1"/>
  <c r="L287" i="1"/>
  <c r="S286" i="1"/>
  <c r="S283" i="1" s="1"/>
  <c r="R286" i="1"/>
  <c r="U286" i="1" s="1"/>
  <c r="Q286" i="1"/>
  <c r="T286" i="1" s="1"/>
  <c r="N286" i="1"/>
  <c r="M286" i="1"/>
  <c r="P286" i="1" s="1"/>
  <c r="L286" i="1"/>
  <c r="O286" i="1" s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R273" i="1"/>
  <c r="Q273" i="1"/>
  <c r="N273" i="1"/>
  <c r="M273" i="1"/>
  <c r="L273" i="1"/>
  <c r="S271" i="1"/>
  <c r="S268" i="1" s="1"/>
  <c r="R271" i="1"/>
  <c r="Q271" i="1"/>
  <c r="N271" i="1"/>
  <c r="M271" i="1"/>
  <c r="L271" i="1"/>
  <c r="S270" i="1"/>
  <c r="R270" i="1"/>
  <c r="Q270" i="1"/>
  <c r="T270" i="1" s="1"/>
  <c r="N270" i="1"/>
  <c r="M270" i="1"/>
  <c r="M267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J231" i="1"/>
  <c r="I231" i="1"/>
  <c r="K231" i="1" s="1"/>
  <c r="J230" i="1"/>
  <c r="I230" i="1"/>
  <c r="K230" i="1" s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R222" i="1" s="1"/>
  <c r="Q223" i="1"/>
  <c r="Q222" i="1" s="1"/>
  <c r="N223" i="1"/>
  <c r="N222" i="1" s="1"/>
  <c r="M223" i="1"/>
  <c r="M222" i="1" s="1"/>
  <c r="L223" i="1"/>
  <c r="L222" i="1" s="1"/>
  <c r="J220" i="1"/>
  <c r="J213" i="1" s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N215" i="1"/>
  <c r="M215" i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Q203" i="1" s="1"/>
  <c r="N204" i="1"/>
  <c r="M204" i="1"/>
  <c r="L204" i="1"/>
  <c r="J201" i="1"/>
  <c r="J200" i="1"/>
  <c r="J198" i="1"/>
  <c r="J195" i="1" s="1"/>
  <c r="I198" i="1"/>
  <c r="I195" i="1" s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U193" i="1" s="1"/>
  <c r="Q193" i="1"/>
  <c r="N193" i="1"/>
  <c r="M193" i="1"/>
  <c r="P193" i="1" s="1"/>
  <c r="L193" i="1"/>
  <c r="O193" i="1" s="1"/>
  <c r="S191" i="1"/>
  <c r="R191" i="1"/>
  <c r="Q191" i="1"/>
  <c r="Q188" i="1" s="1"/>
  <c r="N191" i="1"/>
  <c r="M191" i="1"/>
  <c r="L191" i="1"/>
  <c r="S190" i="1"/>
  <c r="S189" i="1" s="1"/>
  <c r="R190" i="1"/>
  <c r="U190" i="1" s="1"/>
  <c r="Q190" i="1"/>
  <c r="N190" i="1"/>
  <c r="M190" i="1"/>
  <c r="P190" i="1" s="1"/>
  <c r="L190" i="1"/>
  <c r="O190" i="1" s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N180" i="1"/>
  <c r="M180" i="1"/>
  <c r="P180" i="1" s="1"/>
  <c r="L180" i="1"/>
  <c r="S178" i="1"/>
  <c r="R178" i="1"/>
  <c r="R175" i="1" s="1"/>
  <c r="Q178" i="1"/>
  <c r="Q175" i="1" s="1"/>
  <c r="N178" i="1"/>
  <c r="M178" i="1"/>
  <c r="L178" i="1"/>
  <c r="L175" i="1" s="1"/>
  <c r="S177" i="1"/>
  <c r="R177" i="1"/>
  <c r="R174" i="1" s="1"/>
  <c r="Q177" i="1"/>
  <c r="Q174" i="1" s="1"/>
  <c r="N177" i="1"/>
  <c r="M177" i="1"/>
  <c r="P177" i="1" s="1"/>
  <c r="L177" i="1"/>
  <c r="J167" i="1"/>
  <c r="I167" i="1"/>
  <c r="I168" i="1" s="1"/>
  <c r="I169" i="1" s="1"/>
  <c r="K169" i="1" s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U164" i="1" s="1"/>
  <c r="Q164" i="1"/>
  <c r="T164" i="1" s="1"/>
  <c r="N164" i="1"/>
  <c r="M164" i="1"/>
  <c r="P164" i="1" s="1"/>
  <c r="L164" i="1"/>
  <c r="O164" i="1" s="1"/>
  <c r="S162" i="1"/>
  <c r="R162" i="1"/>
  <c r="U162" i="1" s="1"/>
  <c r="Q162" i="1"/>
  <c r="N162" i="1"/>
  <c r="M162" i="1"/>
  <c r="L162" i="1"/>
  <c r="S161" i="1"/>
  <c r="R161" i="1"/>
  <c r="Q161" i="1"/>
  <c r="N161" i="1"/>
  <c r="M161" i="1"/>
  <c r="P161" i="1" s="1"/>
  <c r="L161" i="1"/>
  <c r="J156" i="1"/>
  <c r="J154" i="1"/>
  <c r="J136" i="1" s="1"/>
  <c r="I154" i="1"/>
  <c r="J153" i="1"/>
  <c r="J138" i="1" s="1"/>
  <c r="I153" i="1"/>
  <c r="I138" i="1" s="1"/>
  <c r="J152" i="1"/>
  <c r="J137" i="1" s="1"/>
  <c r="I152" i="1"/>
  <c r="I137" i="1" s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S146" i="1"/>
  <c r="R146" i="1"/>
  <c r="Q146" i="1"/>
  <c r="T146" i="1" s="1"/>
  <c r="N146" i="1"/>
  <c r="M146" i="1"/>
  <c r="L146" i="1"/>
  <c r="S144" i="1"/>
  <c r="R144" i="1"/>
  <c r="Q144" i="1"/>
  <c r="N144" i="1"/>
  <c r="M144" i="1"/>
  <c r="L144" i="1"/>
  <c r="S143" i="1"/>
  <c r="S142" i="1" s="1"/>
  <c r="R143" i="1"/>
  <c r="U143" i="1" s="1"/>
  <c r="Q143" i="1"/>
  <c r="T143" i="1" s="1"/>
  <c r="N143" i="1"/>
  <c r="N140" i="1" s="1"/>
  <c r="M143" i="1"/>
  <c r="P143" i="1" s="1"/>
  <c r="L143" i="1"/>
  <c r="O143" i="1" s="1"/>
  <c r="J130" i="1"/>
  <c r="I130" i="1"/>
  <c r="J129" i="1"/>
  <c r="I129" i="1"/>
  <c r="J128" i="1"/>
  <c r="I128" i="1"/>
  <c r="J127" i="1"/>
  <c r="J116" i="1" s="1"/>
  <c r="I127" i="1"/>
  <c r="I116" i="1" s="1"/>
  <c r="S125" i="1"/>
  <c r="R125" i="1"/>
  <c r="Q125" i="1"/>
  <c r="N125" i="1"/>
  <c r="M125" i="1"/>
  <c r="L125" i="1"/>
  <c r="S124" i="1"/>
  <c r="R124" i="1"/>
  <c r="U124" i="1" s="1"/>
  <c r="Q124" i="1"/>
  <c r="T124" i="1" s="1"/>
  <c r="N124" i="1"/>
  <c r="M124" i="1"/>
  <c r="P124" i="1" s="1"/>
  <c r="L124" i="1"/>
  <c r="O124" i="1" s="1"/>
  <c r="S122" i="1"/>
  <c r="R122" i="1"/>
  <c r="Q122" i="1"/>
  <c r="N122" i="1"/>
  <c r="M122" i="1"/>
  <c r="P122" i="1" s="1"/>
  <c r="L122" i="1"/>
  <c r="S121" i="1"/>
  <c r="R121" i="1"/>
  <c r="U121" i="1" s="1"/>
  <c r="Q121" i="1"/>
  <c r="T121" i="1" s="1"/>
  <c r="N121" i="1"/>
  <c r="N118" i="1" s="1"/>
  <c r="M121" i="1"/>
  <c r="L121" i="1"/>
  <c r="O121" i="1" s="1"/>
  <c r="J114" i="1"/>
  <c r="I114" i="1"/>
  <c r="J113" i="1"/>
  <c r="I113" i="1"/>
  <c r="J109" i="1"/>
  <c r="J93" i="1" s="1"/>
  <c r="I109" i="1"/>
  <c r="I93" i="1" s="1"/>
  <c r="J108" i="1"/>
  <c r="J92" i="1" s="1"/>
  <c r="I108" i="1"/>
  <c r="I92" i="1" s="1"/>
  <c r="S102" i="1"/>
  <c r="R102" i="1"/>
  <c r="U102" i="1" s="1"/>
  <c r="Q102" i="1"/>
  <c r="T102" i="1" s="1"/>
  <c r="N102" i="1"/>
  <c r="M102" i="1"/>
  <c r="P102" i="1" s="1"/>
  <c r="L102" i="1"/>
  <c r="S101" i="1"/>
  <c r="R101" i="1"/>
  <c r="U101" i="1" s="1"/>
  <c r="Q101" i="1"/>
  <c r="T101" i="1" s="1"/>
  <c r="N101" i="1"/>
  <c r="M101" i="1"/>
  <c r="P101" i="1" s="1"/>
  <c r="L101" i="1"/>
  <c r="S99" i="1"/>
  <c r="R99" i="1"/>
  <c r="Q99" i="1"/>
  <c r="N99" i="1"/>
  <c r="N96" i="1" s="1"/>
  <c r="M99" i="1"/>
  <c r="L99" i="1"/>
  <c r="S98" i="1"/>
  <c r="R98" i="1"/>
  <c r="Q98" i="1"/>
  <c r="T98" i="1" s="1"/>
  <c r="N98" i="1"/>
  <c r="N95" i="1" s="1"/>
  <c r="M98" i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S79" i="1"/>
  <c r="S78" i="1" s="1"/>
  <c r="R79" i="1"/>
  <c r="Q79" i="1"/>
  <c r="T79" i="1" s="1"/>
  <c r="N79" i="1"/>
  <c r="M79" i="1"/>
  <c r="L79" i="1"/>
  <c r="O79" i="1" s="1"/>
  <c r="S77" i="1"/>
  <c r="S74" i="1" s="1"/>
  <c r="R77" i="1"/>
  <c r="Q77" i="1"/>
  <c r="N77" i="1"/>
  <c r="M77" i="1"/>
  <c r="L77" i="1"/>
  <c r="S76" i="1"/>
  <c r="R76" i="1"/>
  <c r="U76" i="1" s="1"/>
  <c r="Q76" i="1"/>
  <c r="N76" i="1"/>
  <c r="M76" i="1"/>
  <c r="P76" i="1" s="1"/>
  <c r="L76" i="1"/>
  <c r="L73" i="1" s="1"/>
  <c r="O73" i="1" s="1"/>
  <c r="S67" i="1"/>
  <c r="R67" i="1"/>
  <c r="Q67" i="1"/>
  <c r="N67" i="1"/>
  <c r="M67" i="1"/>
  <c r="L67" i="1"/>
  <c r="S66" i="1"/>
  <c r="R66" i="1"/>
  <c r="U66" i="1" s="1"/>
  <c r="Q66" i="1"/>
  <c r="T66" i="1" s="1"/>
  <c r="N66" i="1"/>
  <c r="M66" i="1"/>
  <c r="L66" i="1"/>
  <c r="O66" i="1" s="1"/>
  <c r="S64" i="1"/>
  <c r="R64" i="1"/>
  <c r="R61" i="1" s="1"/>
  <c r="Q64" i="1"/>
  <c r="Q61" i="1" s="1"/>
  <c r="N64" i="1"/>
  <c r="M64" i="1"/>
  <c r="L64" i="1"/>
  <c r="S63" i="1"/>
  <c r="S62" i="1" s="1"/>
  <c r="R63" i="1"/>
  <c r="Q63" i="1"/>
  <c r="T63" i="1" s="1"/>
  <c r="N63" i="1"/>
  <c r="M63" i="1"/>
  <c r="P63" i="1" s="1"/>
  <c r="L63" i="1"/>
  <c r="O63" i="1" s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Q47" i="1" s="1"/>
  <c r="T47" i="1" s="1"/>
  <c r="N49" i="1"/>
  <c r="M49" i="1"/>
  <c r="M47" i="1" s="1"/>
  <c r="L49" i="1"/>
  <c r="L47" i="1" s="1"/>
  <c r="U48" i="1"/>
  <c r="T48" i="1"/>
  <c r="P48" i="1"/>
  <c r="O48" i="1"/>
  <c r="U45" i="1"/>
  <c r="T45" i="1"/>
  <c r="S45" i="1"/>
  <c r="R45" i="1"/>
  <c r="Q45" i="1"/>
  <c r="P45" i="1"/>
  <c r="O45" i="1"/>
  <c r="N45" i="1"/>
  <c r="M45" i="1"/>
  <c r="L45" i="1"/>
  <c r="L160" i="1" l="1"/>
  <c r="P285" i="18"/>
  <c r="N232" i="1"/>
  <c r="S222" i="1"/>
  <c r="S65" i="1"/>
  <c r="N336" i="1"/>
  <c r="T618" i="17"/>
  <c r="O284" i="18"/>
  <c r="Q496" i="1"/>
  <c r="M117" i="18"/>
  <c r="P117" i="18" s="1"/>
  <c r="M232" i="1"/>
  <c r="M214" i="1"/>
  <c r="N419" i="1"/>
  <c r="S642" i="18"/>
  <c r="U642" i="18" s="1"/>
  <c r="O335" i="18"/>
  <c r="T141" i="14"/>
  <c r="U141" i="14"/>
  <c r="N141" i="1"/>
  <c r="N139" i="1" s="1"/>
  <c r="O536" i="17"/>
  <c r="U731" i="16"/>
  <c r="S731" i="1"/>
  <c r="K701" i="15"/>
  <c r="O186" i="16"/>
  <c r="P359" i="17"/>
  <c r="P284" i="18"/>
  <c r="P175" i="18"/>
  <c r="O46" i="15"/>
  <c r="T188" i="18"/>
  <c r="U378" i="17"/>
  <c r="S73" i="1"/>
  <c r="S72" i="1" s="1"/>
  <c r="L493" i="16"/>
  <c r="O493" i="16" s="1"/>
  <c r="Q392" i="18"/>
  <c r="T392" i="18" s="1"/>
  <c r="L358" i="1"/>
  <c r="R303" i="17"/>
  <c r="U303" i="17" s="1"/>
  <c r="N762" i="1"/>
  <c r="S288" i="1"/>
  <c r="M555" i="16"/>
  <c r="P555" i="16" s="1"/>
  <c r="K374" i="18"/>
  <c r="U762" i="18"/>
  <c r="U75" i="12"/>
  <c r="T731" i="12"/>
  <c r="O46" i="18"/>
  <c r="P578" i="18"/>
  <c r="S395" i="1"/>
  <c r="K701" i="17"/>
  <c r="M513" i="18"/>
  <c r="P513" i="18" s="1"/>
  <c r="P599" i="16"/>
  <c r="P495" i="17"/>
  <c r="L303" i="15"/>
  <c r="O303" i="15" s="1"/>
  <c r="L555" i="14"/>
  <c r="O555" i="14" s="1"/>
  <c r="T762" i="18"/>
  <c r="P576" i="16"/>
  <c r="Q375" i="17"/>
  <c r="T375" i="17" s="1"/>
  <c r="Q303" i="15"/>
  <c r="T303" i="15" s="1"/>
  <c r="T266" i="18"/>
  <c r="M268" i="1"/>
  <c r="N203" i="1"/>
  <c r="K701" i="14"/>
  <c r="P188" i="16"/>
  <c r="M375" i="18"/>
  <c r="P375" i="18" s="1"/>
  <c r="O284" i="17"/>
  <c r="P335" i="18"/>
  <c r="O159" i="18"/>
  <c r="O188" i="16"/>
  <c r="U618" i="17"/>
  <c r="P601" i="16"/>
  <c r="T378" i="18"/>
  <c r="T762" i="11"/>
  <c r="U186" i="17"/>
  <c r="O320" i="18"/>
  <c r="S375" i="12"/>
  <c r="U375" i="12" s="1"/>
  <c r="U74" i="17"/>
  <c r="L72" i="17"/>
  <c r="O72" i="17" s="1"/>
  <c r="T306" i="13"/>
  <c r="U74" i="14"/>
  <c r="T189" i="14"/>
  <c r="P141" i="17"/>
  <c r="Q416" i="1"/>
  <c r="O176" i="17"/>
  <c r="O358" i="17"/>
  <c r="Q690" i="17"/>
  <c r="T690" i="17" s="1"/>
  <c r="Q266" i="16"/>
  <c r="T266" i="16" s="1"/>
  <c r="K83" i="17"/>
  <c r="N377" i="1"/>
  <c r="O377" i="1" s="1"/>
  <c r="T141" i="17"/>
  <c r="T730" i="16"/>
  <c r="T117" i="16"/>
  <c r="P269" i="16"/>
  <c r="U120" i="18"/>
  <c r="O303" i="18"/>
  <c r="S20" i="18"/>
  <c r="S18" i="18" s="1"/>
  <c r="O285" i="18"/>
  <c r="K701" i="18"/>
  <c r="O46" i="16"/>
  <c r="O601" i="18"/>
  <c r="K374" i="15"/>
  <c r="O268" i="16"/>
  <c r="P173" i="16"/>
  <c r="O377" i="17"/>
  <c r="T645" i="18"/>
  <c r="Q413" i="10"/>
  <c r="T413" i="10" s="1"/>
  <c r="Q157" i="16"/>
  <c r="T157" i="16" s="1"/>
  <c r="U269" i="15"/>
  <c r="K83" i="18"/>
  <c r="Q232" i="1"/>
  <c r="T692" i="13"/>
  <c r="P358" i="17"/>
  <c r="U117" i="16"/>
  <c r="P141" i="18"/>
  <c r="O413" i="18"/>
  <c r="U692" i="13"/>
  <c r="T141" i="18"/>
  <c r="N179" i="1"/>
  <c r="P175" i="16"/>
  <c r="O359" i="16"/>
  <c r="O599" i="17"/>
  <c r="P188" i="17"/>
  <c r="S186" i="18"/>
  <c r="T186" i="18" s="1"/>
  <c r="O175" i="18"/>
  <c r="T763" i="17"/>
  <c r="O268" i="15"/>
  <c r="T119" i="15"/>
  <c r="O74" i="16"/>
  <c r="L266" i="16"/>
  <c r="O266" i="16" s="1"/>
  <c r="U119" i="17"/>
  <c r="O356" i="17"/>
  <c r="O189" i="18"/>
  <c r="O495" i="18"/>
  <c r="O578" i="18"/>
  <c r="P189" i="17"/>
  <c r="M356" i="17"/>
  <c r="P356" i="17" s="1"/>
  <c r="P359" i="18"/>
  <c r="O336" i="18"/>
  <c r="M94" i="17"/>
  <c r="P94" i="17" s="1"/>
  <c r="O359" i="18"/>
  <c r="O175" i="16"/>
  <c r="O268" i="17"/>
  <c r="P335" i="17"/>
  <c r="U415" i="17"/>
  <c r="U188" i="18"/>
  <c r="T176" i="7"/>
  <c r="T305" i="13"/>
  <c r="T618" i="13"/>
  <c r="L320" i="16"/>
  <c r="O320" i="16" s="1"/>
  <c r="T74" i="18"/>
  <c r="O269" i="18"/>
  <c r="U268" i="18"/>
  <c r="T416" i="18"/>
  <c r="L333" i="18"/>
  <c r="O333" i="18" s="1"/>
  <c r="U731" i="18"/>
  <c r="R392" i="18"/>
  <c r="U392" i="18" s="1"/>
  <c r="R599" i="11"/>
  <c r="U599" i="11" s="1"/>
  <c r="O515" i="13"/>
  <c r="I70" i="15"/>
  <c r="K70" i="15" s="1"/>
  <c r="O601" i="16"/>
  <c r="P160" i="17"/>
  <c r="M186" i="17"/>
  <c r="P186" i="17" s="1"/>
  <c r="O305" i="17"/>
  <c r="N20" i="18"/>
  <c r="N18" i="18" s="1"/>
  <c r="L157" i="18"/>
  <c r="O157" i="18" s="1"/>
  <c r="O416" i="18"/>
  <c r="P269" i="18"/>
  <c r="M534" i="18"/>
  <c r="P534" i="18" s="1"/>
  <c r="L375" i="18"/>
  <c r="O375" i="18" s="1"/>
  <c r="T305" i="18"/>
  <c r="I231" i="11"/>
  <c r="K231" i="11" s="1"/>
  <c r="S413" i="17"/>
  <c r="T413" i="17" s="1"/>
  <c r="P159" i="17"/>
  <c r="P186" i="18"/>
  <c r="T730" i="14"/>
  <c r="R157" i="18"/>
  <c r="U157" i="18" s="1"/>
  <c r="O186" i="17"/>
  <c r="P142" i="12"/>
  <c r="M117" i="13"/>
  <c r="P117" i="13" s="1"/>
  <c r="K701" i="16"/>
  <c r="L117" i="18"/>
  <c r="O117" i="18" s="1"/>
  <c r="P159" i="18"/>
  <c r="T303" i="18"/>
  <c r="O602" i="14"/>
  <c r="O61" i="17"/>
  <c r="T306" i="16"/>
  <c r="P269" i="17"/>
  <c r="T268" i="18"/>
  <c r="U413" i="18"/>
  <c r="Q599" i="18"/>
  <c r="T599" i="18" s="1"/>
  <c r="M282" i="18"/>
  <c r="P282" i="18" s="1"/>
  <c r="Q72" i="18"/>
  <c r="T72" i="18" s="1"/>
  <c r="U375" i="18"/>
  <c r="Q599" i="13"/>
  <c r="T599" i="13" s="1"/>
  <c r="T306" i="14"/>
  <c r="T268" i="15"/>
  <c r="P189" i="16"/>
  <c r="R94" i="16"/>
  <c r="U94" i="16" s="1"/>
  <c r="U176" i="16"/>
  <c r="Q139" i="17"/>
  <c r="T139" i="17" s="1"/>
  <c r="R690" i="17"/>
  <c r="U690" i="17" s="1"/>
  <c r="T760" i="17"/>
  <c r="O176" i="18"/>
  <c r="U618" i="18"/>
  <c r="P496" i="18"/>
  <c r="U266" i="18"/>
  <c r="U645" i="18"/>
  <c r="R645" i="1"/>
  <c r="K374" i="16"/>
  <c r="T619" i="16"/>
  <c r="U269" i="17"/>
  <c r="U119" i="18"/>
  <c r="O188" i="18"/>
  <c r="T413" i="18"/>
  <c r="Q728" i="18"/>
  <c r="T728" i="18" s="1"/>
  <c r="U760" i="18"/>
  <c r="T760" i="18"/>
  <c r="Q173" i="17"/>
  <c r="T173" i="17" s="1"/>
  <c r="S728" i="17"/>
  <c r="T728" i="17" s="1"/>
  <c r="U74" i="18"/>
  <c r="P188" i="18"/>
  <c r="I231" i="18"/>
  <c r="I185" i="18" s="1"/>
  <c r="K185" i="18" s="1"/>
  <c r="P322" i="13"/>
  <c r="L513" i="15"/>
  <c r="O513" i="15" s="1"/>
  <c r="Q616" i="17"/>
  <c r="T616" i="17" s="1"/>
  <c r="Q72" i="17"/>
  <c r="T72" i="17" s="1"/>
  <c r="O415" i="18"/>
  <c r="U269" i="16"/>
  <c r="O336" i="16"/>
  <c r="P602" i="17"/>
  <c r="R616" i="18"/>
  <c r="U616" i="18" s="1"/>
  <c r="P305" i="18"/>
  <c r="P176" i="18"/>
  <c r="P602" i="16"/>
  <c r="L232" i="16"/>
  <c r="N44" i="18"/>
  <c r="O44" i="18" s="1"/>
  <c r="O496" i="18"/>
  <c r="O74" i="18"/>
  <c r="T618" i="18"/>
  <c r="U305" i="18"/>
  <c r="R303" i="18"/>
  <c r="U303" i="18" s="1"/>
  <c r="P24" i="18"/>
  <c r="P266" i="18"/>
  <c r="L186" i="18"/>
  <c r="O186" i="18" s="1"/>
  <c r="N173" i="18"/>
  <c r="O173" i="18" s="1"/>
  <c r="U72" i="18"/>
  <c r="P268" i="18"/>
  <c r="L555" i="18"/>
  <c r="O555" i="18" s="1"/>
  <c r="T619" i="18"/>
  <c r="M94" i="18"/>
  <c r="P94" i="18" s="1"/>
  <c r="O322" i="18"/>
  <c r="P416" i="18"/>
  <c r="M555" i="18"/>
  <c r="P555" i="18" s="1"/>
  <c r="P557" i="18"/>
  <c r="O305" i="18"/>
  <c r="T616" i="18"/>
  <c r="M157" i="18"/>
  <c r="P157" i="18" s="1"/>
  <c r="P282" i="17"/>
  <c r="Q20" i="18"/>
  <c r="T23" i="18"/>
  <c r="Q21" i="18"/>
  <c r="R21" i="18"/>
  <c r="R20" i="18"/>
  <c r="U23" i="18"/>
  <c r="Q94" i="18"/>
  <c r="T94" i="18" s="1"/>
  <c r="T96" i="18"/>
  <c r="P23" i="18"/>
  <c r="M20" i="18"/>
  <c r="L94" i="18"/>
  <c r="O94" i="18" s="1"/>
  <c r="O306" i="18"/>
  <c r="P306" i="18"/>
  <c r="M284" i="1"/>
  <c r="M305" i="1"/>
  <c r="P305" i="1" s="1"/>
  <c r="U416" i="9"/>
  <c r="O601" i="17"/>
  <c r="M44" i="18"/>
  <c r="P46" i="18"/>
  <c r="Q117" i="18"/>
  <c r="T117" i="18" s="1"/>
  <c r="T119" i="18"/>
  <c r="S21" i="18"/>
  <c r="K82" i="18"/>
  <c r="I70" i="18"/>
  <c r="K70" i="18" s="1"/>
  <c r="U601" i="18"/>
  <c r="R599" i="18"/>
  <c r="U599" i="18" s="1"/>
  <c r="P415" i="18"/>
  <c r="M413" i="18"/>
  <c r="P413" i="18" s="1"/>
  <c r="T26" i="18"/>
  <c r="Q24" i="18"/>
  <c r="T24" i="18" s="1"/>
  <c r="O536" i="18"/>
  <c r="L534" i="18"/>
  <c r="O534" i="18" s="1"/>
  <c r="L117" i="15"/>
  <c r="O117" i="15" s="1"/>
  <c r="Q173" i="16"/>
  <c r="T173" i="16" s="1"/>
  <c r="L513" i="16"/>
  <c r="O513" i="16" s="1"/>
  <c r="T378" i="16"/>
  <c r="N59" i="17"/>
  <c r="O59" i="17" s="1"/>
  <c r="L282" i="17"/>
  <c r="O282" i="17" s="1"/>
  <c r="Q157" i="17"/>
  <c r="T157" i="17" s="1"/>
  <c r="R157" i="17"/>
  <c r="U157" i="17" s="1"/>
  <c r="P284" i="17"/>
  <c r="N333" i="17"/>
  <c r="P333" i="17" s="1"/>
  <c r="P601" i="17"/>
  <c r="M59" i="18"/>
  <c r="P59" i="18" s="1"/>
  <c r="P61" i="18"/>
  <c r="L139" i="18"/>
  <c r="O139" i="18" s="1"/>
  <c r="O141" i="18"/>
  <c r="O59" i="18"/>
  <c r="R186" i="18"/>
  <c r="M333" i="18"/>
  <c r="P333" i="18" s="1"/>
  <c r="Q173" i="18"/>
  <c r="T173" i="18" s="1"/>
  <c r="T175" i="18"/>
  <c r="P303" i="18"/>
  <c r="Q493" i="18"/>
  <c r="T493" i="18" s="1"/>
  <c r="P358" i="18"/>
  <c r="M356" i="18"/>
  <c r="P356" i="18" s="1"/>
  <c r="P323" i="18"/>
  <c r="U416" i="18"/>
  <c r="N599" i="18"/>
  <c r="P599" i="18" s="1"/>
  <c r="P601" i="18"/>
  <c r="L232" i="18"/>
  <c r="O243" i="18"/>
  <c r="T644" i="18"/>
  <c r="Q642" i="18"/>
  <c r="U692" i="18"/>
  <c r="T692" i="18"/>
  <c r="I71" i="15"/>
  <c r="K71" i="15" s="1"/>
  <c r="M24" i="16"/>
  <c r="P24" i="16" s="1"/>
  <c r="M534" i="16"/>
  <c r="P534" i="16" s="1"/>
  <c r="T306" i="17"/>
  <c r="M72" i="18"/>
  <c r="P72" i="18" s="1"/>
  <c r="P74" i="18"/>
  <c r="R139" i="18"/>
  <c r="U141" i="18"/>
  <c r="R117" i="18"/>
  <c r="U117" i="18" s="1"/>
  <c r="P19" i="18"/>
  <c r="O61" i="18"/>
  <c r="R94" i="18"/>
  <c r="U94" i="18" s="1"/>
  <c r="L282" i="18"/>
  <c r="O282" i="18" s="1"/>
  <c r="P322" i="18"/>
  <c r="M320" i="18"/>
  <c r="P320" i="18" s="1"/>
  <c r="M139" i="18"/>
  <c r="P139" i="18" s="1"/>
  <c r="O268" i="18"/>
  <c r="U690" i="18"/>
  <c r="T377" i="18"/>
  <c r="Q375" i="18"/>
  <c r="T375" i="18" s="1"/>
  <c r="N160" i="1"/>
  <c r="O160" i="1" s="1"/>
  <c r="K374" i="12"/>
  <c r="O96" i="13"/>
  <c r="P160" i="14"/>
  <c r="I231" i="14"/>
  <c r="K231" i="14" s="1"/>
  <c r="P336" i="16"/>
  <c r="U692" i="16"/>
  <c r="P24" i="17"/>
  <c r="L94" i="17"/>
  <c r="O94" i="17" s="1"/>
  <c r="M117" i="17"/>
  <c r="P117" i="17" s="1"/>
  <c r="O378" i="17"/>
  <c r="T378" i="17"/>
  <c r="U306" i="17"/>
  <c r="M534" i="17"/>
  <c r="P534" i="17" s="1"/>
  <c r="N21" i="18"/>
  <c r="Q157" i="18"/>
  <c r="T157" i="18" s="1"/>
  <c r="T159" i="18"/>
  <c r="R24" i="18"/>
  <c r="U24" i="18" s="1"/>
  <c r="U26" i="18"/>
  <c r="P26" i="18"/>
  <c r="L24" i="18"/>
  <c r="O24" i="18" s="1"/>
  <c r="O26" i="18"/>
  <c r="S139" i="18"/>
  <c r="T139" i="18" s="1"/>
  <c r="L493" i="18"/>
  <c r="O493" i="18" s="1"/>
  <c r="O266" i="18"/>
  <c r="O515" i="18"/>
  <c r="L513" i="18"/>
  <c r="O513" i="18" s="1"/>
  <c r="P188" i="15"/>
  <c r="L232" i="15"/>
  <c r="U690" i="16"/>
  <c r="T692" i="16"/>
  <c r="L21" i="18"/>
  <c r="L20" i="18"/>
  <c r="O23" i="18"/>
  <c r="T19" i="18"/>
  <c r="M21" i="18"/>
  <c r="O72" i="18"/>
  <c r="P495" i="18"/>
  <c r="M493" i="18"/>
  <c r="P493" i="18" s="1"/>
  <c r="U496" i="18"/>
  <c r="T690" i="18"/>
  <c r="O358" i="18"/>
  <c r="L356" i="18"/>
  <c r="O356" i="18" s="1"/>
  <c r="I412" i="17"/>
  <c r="K412" i="17" s="1"/>
  <c r="K423" i="17"/>
  <c r="O176" i="14"/>
  <c r="P173" i="15"/>
  <c r="O284" i="16"/>
  <c r="L534" i="16"/>
  <c r="O534" i="16" s="1"/>
  <c r="N157" i="17"/>
  <c r="P157" i="17" s="1"/>
  <c r="P599" i="17"/>
  <c r="T760" i="11"/>
  <c r="P176" i="14"/>
  <c r="U268" i="14"/>
  <c r="T188" i="14"/>
  <c r="U189" i="14"/>
  <c r="S20" i="16"/>
  <c r="T145" i="17"/>
  <c r="P415" i="17"/>
  <c r="R173" i="17"/>
  <c r="U173" i="17" s="1"/>
  <c r="R413" i="17"/>
  <c r="Q642" i="17"/>
  <c r="T642" i="17" s="1"/>
  <c r="N375" i="17"/>
  <c r="O375" i="17" s="1"/>
  <c r="T693" i="17"/>
  <c r="R599" i="17"/>
  <c r="U599" i="17" s="1"/>
  <c r="U601" i="17"/>
  <c r="R214" i="1"/>
  <c r="T268" i="14"/>
  <c r="O97" i="15"/>
  <c r="P601" i="15"/>
  <c r="Q599" i="15"/>
  <c r="T599" i="15" s="1"/>
  <c r="P96" i="15"/>
  <c r="R139" i="16"/>
  <c r="U139" i="16" s="1"/>
  <c r="L173" i="16"/>
  <c r="O173" i="16" s="1"/>
  <c r="U26" i="16"/>
  <c r="P61" i="16"/>
  <c r="P335" i="16"/>
  <c r="Q642" i="16"/>
  <c r="T642" i="16" s="1"/>
  <c r="L555" i="16"/>
  <c r="O555" i="16" s="1"/>
  <c r="R760" i="16"/>
  <c r="U760" i="16" s="1"/>
  <c r="P142" i="17"/>
  <c r="P416" i="17"/>
  <c r="M555" i="17"/>
  <c r="P555" i="17" s="1"/>
  <c r="L303" i="17"/>
  <c r="O303" i="17" s="1"/>
  <c r="U616" i="12"/>
  <c r="O268" i="14"/>
  <c r="U306" i="16"/>
  <c r="P413" i="17"/>
  <c r="R642" i="17"/>
  <c r="U642" i="17" s="1"/>
  <c r="M375" i="17"/>
  <c r="P377" i="17"/>
  <c r="K374" i="17"/>
  <c r="O602" i="17"/>
  <c r="T645" i="17"/>
  <c r="O175" i="13"/>
  <c r="R599" i="13"/>
  <c r="U599" i="13" s="1"/>
  <c r="U97" i="14"/>
  <c r="L493" i="15"/>
  <c r="O493" i="15" s="1"/>
  <c r="O284" i="15"/>
  <c r="T760" i="16"/>
  <c r="U188" i="17"/>
  <c r="O415" i="17"/>
  <c r="O188" i="17"/>
  <c r="O188" i="12"/>
  <c r="T415" i="16"/>
  <c r="M44" i="17"/>
  <c r="P46" i="17"/>
  <c r="Q117" i="17"/>
  <c r="T117" i="17" s="1"/>
  <c r="T119" i="17"/>
  <c r="P305" i="17"/>
  <c r="M303" i="17"/>
  <c r="P303" i="17" s="1"/>
  <c r="U495" i="17"/>
  <c r="R493" i="17"/>
  <c r="U493" i="17" s="1"/>
  <c r="U377" i="17"/>
  <c r="R375" i="17"/>
  <c r="U375" i="17" s="1"/>
  <c r="P415" i="15"/>
  <c r="O601" i="15"/>
  <c r="U618" i="15"/>
  <c r="P356" i="16"/>
  <c r="M59" i="17"/>
  <c r="P61" i="17"/>
  <c r="L139" i="17"/>
  <c r="O139" i="17" s="1"/>
  <c r="O141" i="17"/>
  <c r="P19" i="17"/>
  <c r="L24" i="17"/>
  <c r="O24" i="17" s="1"/>
  <c r="O26" i="17"/>
  <c r="L333" i="17"/>
  <c r="O335" i="17"/>
  <c r="O515" i="17"/>
  <c r="L513" i="17"/>
  <c r="O513" i="17" s="1"/>
  <c r="L576" i="17"/>
  <c r="O576" i="17" s="1"/>
  <c r="O578" i="17"/>
  <c r="M513" i="17"/>
  <c r="P513" i="17" s="1"/>
  <c r="T601" i="17"/>
  <c r="Q599" i="17"/>
  <c r="T599" i="17" s="1"/>
  <c r="M72" i="17"/>
  <c r="P72" i="17" s="1"/>
  <c r="P74" i="17"/>
  <c r="R139" i="17"/>
  <c r="U139" i="17" s="1"/>
  <c r="U141" i="17"/>
  <c r="N21" i="17"/>
  <c r="P21" i="17" s="1"/>
  <c r="N20" i="17"/>
  <c r="N18" i="17" s="1"/>
  <c r="O44" i="17"/>
  <c r="R94" i="17"/>
  <c r="U94" i="17" s="1"/>
  <c r="L232" i="17"/>
  <c r="O243" i="17"/>
  <c r="T188" i="17"/>
  <c r="Q186" i="17"/>
  <c r="T186" i="17" s="1"/>
  <c r="M320" i="17"/>
  <c r="P320" i="17" s="1"/>
  <c r="I231" i="17"/>
  <c r="K242" i="17"/>
  <c r="Q303" i="17"/>
  <c r="T303" i="17" s="1"/>
  <c r="Q392" i="17"/>
  <c r="T392" i="17" s="1"/>
  <c r="M576" i="17"/>
  <c r="P576" i="17" s="1"/>
  <c r="P578" i="17"/>
  <c r="O375" i="14"/>
  <c r="O141" i="15"/>
  <c r="M139" i="15"/>
  <c r="P139" i="15" s="1"/>
  <c r="U306" i="15"/>
  <c r="M320" i="15"/>
  <c r="P320" i="15" s="1"/>
  <c r="M493" i="15"/>
  <c r="P493" i="15" s="1"/>
  <c r="Q94" i="16"/>
  <c r="T94" i="16" s="1"/>
  <c r="L375" i="16"/>
  <c r="O375" i="16" s="1"/>
  <c r="U415" i="16"/>
  <c r="U645" i="16"/>
  <c r="T763" i="16"/>
  <c r="O157" i="16"/>
  <c r="Q20" i="17"/>
  <c r="Q18" i="17" s="1"/>
  <c r="T23" i="17"/>
  <c r="Q21" i="17"/>
  <c r="T21" i="17" s="1"/>
  <c r="T19" i="17"/>
  <c r="O46" i="17"/>
  <c r="T266" i="17"/>
  <c r="P336" i="17"/>
  <c r="O189" i="17"/>
  <c r="L266" i="17"/>
  <c r="O266" i="17" s="1"/>
  <c r="U616" i="17"/>
  <c r="R760" i="17"/>
  <c r="U760" i="17" s="1"/>
  <c r="U762" i="17"/>
  <c r="L413" i="17"/>
  <c r="O413" i="17" s="1"/>
  <c r="R94" i="12"/>
  <c r="U94" i="12" s="1"/>
  <c r="P175" i="14"/>
  <c r="T188" i="15"/>
  <c r="P175" i="15"/>
  <c r="O159" i="15"/>
  <c r="U74" i="16"/>
  <c r="Q375" i="16"/>
  <c r="T375" i="16" s="1"/>
  <c r="R493" i="16"/>
  <c r="U493" i="16" s="1"/>
  <c r="O356" i="16"/>
  <c r="L21" i="17"/>
  <c r="L20" i="17"/>
  <c r="O23" i="17"/>
  <c r="P23" i="17"/>
  <c r="M20" i="17"/>
  <c r="R24" i="17"/>
  <c r="U24" i="17" s="1"/>
  <c r="U26" i="17"/>
  <c r="R117" i="17"/>
  <c r="U117" i="17" s="1"/>
  <c r="M266" i="17"/>
  <c r="P266" i="17" s="1"/>
  <c r="P268" i="17"/>
  <c r="O173" i="17"/>
  <c r="M173" i="17"/>
  <c r="P173" i="17" s="1"/>
  <c r="P175" i="17"/>
  <c r="T268" i="17"/>
  <c r="O495" i="17"/>
  <c r="L493" i="17"/>
  <c r="O493" i="17" s="1"/>
  <c r="O159" i="17"/>
  <c r="L157" i="17"/>
  <c r="O157" i="17" s="1"/>
  <c r="O359" i="17"/>
  <c r="L555" i="17"/>
  <c r="O555" i="17" s="1"/>
  <c r="O557" i="17"/>
  <c r="T26" i="17"/>
  <c r="Q24" i="17"/>
  <c r="T24" i="17" s="1"/>
  <c r="U730" i="17"/>
  <c r="R728" i="17"/>
  <c r="O578" i="13"/>
  <c r="U760" i="12"/>
  <c r="L576" i="15"/>
  <c r="O576" i="15" s="1"/>
  <c r="P159" i="15"/>
  <c r="O335" i="16"/>
  <c r="Q690" i="16"/>
  <c r="T690" i="16" s="1"/>
  <c r="M493" i="16"/>
  <c r="P493" i="16" s="1"/>
  <c r="R21" i="17"/>
  <c r="U21" i="17" s="1"/>
  <c r="R20" i="17"/>
  <c r="U23" i="17"/>
  <c r="Q94" i="17"/>
  <c r="T94" i="17" s="1"/>
  <c r="T96" i="17"/>
  <c r="S20" i="17"/>
  <c r="S18" i="17" s="1"/>
  <c r="L117" i="17"/>
  <c r="O117" i="17" s="1"/>
  <c r="P26" i="17"/>
  <c r="M139" i="17"/>
  <c r="P139" i="17" s="1"/>
  <c r="K82" i="17"/>
  <c r="I70" i="17"/>
  <c r="K70" i="17" s="1"/>
  <c r="O175" i="17"/>
  <c r="L320" i="17"/>
  <c r="O320" i="17" s="1"/>
  <c r="U266" i="17"/>
  <c r="U268" i="17"/>
  <c r="O335" i="8"/>
  <c r="P284" i="12"/>
  <c r="K242" i="13"/>
  <c r="O268" i="13"/>
  <c r="L303" i="14"/>
  <c r="O303" i="14" s="1"/>
  <c r="U96" i="15"/>
  <c r="P160" i="15"/>
  <c r="O160" i="15"/>
  <c r="M413" i="15"/>
  <c r="P413" i="15" s="1"/>
  <c r="O160" i="16"/>
  <c r="Q599" i="16"/>
  <c r="T599" i="16" s="1"/>
  <c r="P358" i="8"/>
  <c r="T762" i="12"/>
  <c r="T75" i="12"/>
  <c r="T175" i="13"/>
  <c r="U173" i="13"/>
  <c r="O142" i="14"/>
  <c r="P602" i="14"/>
  <c r="T119" i="14"/>
  <c r="M24" i="15"/>
  <c r="P24" i="15" s="1"/>
  <c r="M94" i="15"/>
  <c r="P94" i="15" s="1"/>
  <c r="R157" i="15"/>
  <c r="U157" i="15" s="1"/>
  <c r="L282" i="15"/>
  <c r="O282" i="15" s="1"/>
  <c r="O358" i="15"/>
  <c r="P160" i="16"/>
  <c r="T119" i="16"/>
  <c r="L282" i="16"/>
  <c r="O282" i="16" s="1"/>
  <c r="P358" i="16"/>
  <c r="U72" i="15"/>
  <c r="M186" i="16"/>
  <c r="P186" i="16" s="1"/>
  <c r="U119" i="16"/>
  <c r="P96" i="13"/>
  <c r="O358" i="13"/>
  <c r="O59" i="14"/>
  <c r="R392" i="14"/>
  <c r="U392" i="14" s="1"/>
  <c r="O358" i="14"/>
  <c r="O356" i="14"/>
  <c r="S20" i="15"/>
  <c r="S18" i="15" s="1"/>
  <c r="N44" i="16"/>
  <c r="O44" i="16" s="1"/>
  <c r="T74" i="16"/>
  <c r="P282" i="16"/>
  <c r="M303" i="16"/>
  <c r="P303" i="16" s="1"/>
  <c r="M320" i="16"/>
  <c r="P320" i="16" s="1"/>
  <c r="O576" i="16"/>
  <c r="R303" i="16"/>
  <c r="U303" i="16" s="1"/>
  <c r="O578" i="16"/>
  <c r="O358" i="16"/>
  <c r="T416" i="16"/>
  <c r="U119" i="15"/>
  <c r="P284" i="16"/>
  <c r="L94" i="16"/>
  <c r="O94" i="16" s="1"/>
  <c r="P377" i="16"/>
  <c r="M375" i="16"/>
  <c r="P375" i="16" s="1"/>
  <c r="L303" i="16"/>
  <c r="O303" i="16" s="1"/>
  <c r="O96" i="9"/>
  <c r="U762" i="12"/>
  <c r="P268" i="13"/>
  <c r="P358" i="13"/>
  <c r="T176" i="15"/>
  <c r="T72" i="15"/>
  <c r="U188" i="15"/>
  <c r="P74" i="16"/>
  <c r="T303" i="16"/>
  <c r="R616" i="16"/>
  <c r="U616" i="16" s="1"/>
  <c r="T141" i="16"/>
  <c r="Q139" i="16"/>
  <c r="T139" i="16" s="1"/>
  <c r="O159" i="11"/>
  <c r="P176" i="12"/>
  <c r="U762" i="14"/>
  <c r="U730" i="14"/>
  <c r="O96" i="15"/>
  <c r="U120" i="15"/>
  <c r="L356" i="15"/>
  <c r="O356" i="15" s="1"/>
  <c r="U731" i="15"/>
  <c r="S72" i="16"/>
  <c r="U72" i="16" s="1"/>
  <c r="M139" i="16"/>
  <c r="P139" i="16" s="1"/>
  <c r="T188" i="16"/>
  <c r="P578" i="16"/>
  <c r="L599" i="16"/>
  <c r="O599" i="16" s="1"/>
  <c r="O159" i="16"/>
  <c r="Q20" i="16"/>
  <c r="T23" i="16"/>
  <c r="Q21" i="16"/>
  <c r="O413" i="16"/>
  <c r="P188" i="13"/>
  <c r="U96" i="14"/>
  <c r="P189" i="14"/>
  <c r="U74" i="15"/>
  <c r="O61" i="15"/>
  <c r="Q117" i="15"/>
  <c r="T117" i="15" s="1"/>
  <c r="S413" i="15"/>
  <c r="T413" i="15" s="1"/>
  <c r="R139" i="15"/>
  <c r="U139" i="15" s="1"/>
  <c r="I231" i="15"/>
  <c r="I185" i="15" s="1"/>
  <c r="K185" i="15" s="1"/>
  <c r="U762" i="15"/>
  <c r="Q728" i="15"/>
  <c r="T728" i="15" s="1"/>
  <c r="O61" i="16"/>
  <c r="T19" i="16"/>
  <c r="N72" i="16"/>
  <c r="R24" i="16"/>
  <c r="U24" i="16" s="1"/>
  <c r="L117" i="16"/>
  <c r="O117" i="16" s="1"/>
  <c r="L333" i="16"/>
  <c r="O333" i="16" s="1"/>
  <c r="O269" i="16"/>
  <c r="S21" i="16"/>
  <c r="U21" i="16" s="1"/>
  <c r="R266" i="16"/>
  <c r="U266" i="16" s="1"/>
  <c r="P96" i="16"/>
  <c r="M94" i="16"/>
  <c r="P94" i="16" s="1"/>
  <c r="U619" i="16"/>
  <c r="R20" i="16"/>
  <c r="U23" i="16"/>
  <c r="L139" i="16"/>
  <c r="O139" i="16" s="1"/>
  <c r="K82" i="16"/>
  <c r="I70" i="16"/>
  <c r="K70" i="16" s="1"/>
  <c r="Q117" i="14"/>
  <c r="T117" i="14" s="1"/>
  <c r="L232" i="14"/>
  <c r="M157" i="15"/>
  <c r="P157" i="15" s="1"/>
  <c r="U644" i="15"/>
  <c r="L555" i="15"/>
  <c r="O555" i="15" s="1"/>
  <c r="T644" i="15"/>
  <c r="P358" i="15"/>
  <c r="T75" i="16"/>
  <c r="P19" i="16"/>
  <c r="O72" i="16"/>
  <c r="L59" i="16"/>
  <c r="I231" i="16"/>
  <c r="K242" i="16"/>
  <c r="S186" i="16"/>
  <c r="T186" i="16" s="1"/>
  <c r="L20" i="16"/>
  <c r="L18" i="16" s="1"/>
  <c r="O23" i="16"/>
  <c r="N21" i="16"/>
  <c r="P21" i="16" s="1"/>
  <c r="N20" i="16"/>
  <c r="N18" i="16" s="1"/>
  <c r="P415" i="16"/>
  <c r="L186" i="12"/>
  <c r="O186" i="12" s="1"/>
  <c r="O188" i="14"/>
  <c r="U269" i="14"/>
  <c r="M534" i="15"/>
  <c r="P534" i="15" s="1"/>
  <c r="O74" i="15"/>
  <c r="P46" i="16"/>
  <c r="U188" i="16"/>
  <c r="P333" i="16"/>
  <c r="O19" i="16"/>
  <c r="K423" i="16"/>
  <c r="I412" i="16"/>
  <c r="K412" i="16" s="1"/>
  <c r="U416" i="16"/>
  <c r="M513" i="16"/>
  <c r="P513" i="16" s="1"/>
  <c r="P515" i="16"/>
  <c r="R599" i="15"/>
  <c r="U599" i="15" s="1"/>
  <c r="U375" i="10"/>
  <c r="T120" i="14"/>
  <c r="O336" i="14"/>
  <c r="U415" i="15"/>
  <c r="T762" i="15"/>
  <c r="M576" i="15"/>
  <c r="P576" i="15" s="1"/>
  <c r="Q760" i="15"/>
  <c r="T760" i="15" s="1"/>
  <c r="P159" i="16"/>
  <c r="M157" i="16"/>
  <c r="P157" i="16" s="1"/>
  <c r="P23" i="16"/>
  <c r="M20" i="16"/>
  <c r="M59" i="16"/>
  <c r="P59" i="16" s="1"/>
  <c r="L24" i="16"/>
  <c r="O24" i="16" s="1"/>
  <c r="P268" i="16"/>
  <c r="M266" i="16"/>
  <c r="P266" i="16" s="1"/>
  <c r="T26" i="16"/>
  <c r="Q24" i="16"/>
  <c r="T24" i="16" s="1"/>
  <c r="P119" i="16"/>
  <c r="M117" i="16"/>
  <c r="P117" i="16" s="1"/>
  <c r="P413" i="16"/>
  <c r="L21" i="16"/>
  <c r="R157" i="16"/>
  <c r="U157" i="16" s="1"/>
  <c r="O415" i="16"/>
  <c r="R173" i="12"/>
  <c r="U173" i="12" s="1"/>
  <c r="O176" i="13"/>
  <c r="R493" i="13"/>
  <c r="U493" i="13" s="1"/>
  <c r="P336" i="14"/>
  <c r="R94" i="15"/>
  <c r="U94" i="15" s="1"/>
  <c r="M117" i="15"/>
  <c r="P117" i="15" s="1"/>
  <c r="R173" i="16"/>
  <c r="U173" i="16" s="1"/>
  <c r="I71" i="16"/>
  <c r="K71" i="16" s="1"/>
  <c r="K83" i="16"/>
  <c r="U120" i="16"/>
  <c r="T413" i="16"/>
  <c r="R375" i="16"/>
  <c r="U375" i="16" s="1"/>
  <c r="S18" i="16"/>
  <c r="M72" i="16"/>
  <c r="R599" i="16"/>
  <c r="U599" i="16" s="1"/>
  <c r="U601" i="16"/>
  <c r="U763" i="16"/>
  <c r="T74" i="9"/>
  <c r="U377" i="11"/>
  <c r="L94" i="12"/>
  <c r="O94" i="12" s="1"/>
  <c r="Q157" i="13"/>
  <c r="T157" i="13" s="1"/>
  <c r="P356" i="15"/>
  <c r="O377" i="10"/>
  <c r="O561" i="13"/>
  <c r="T618" i="14"/>
  <c r="U728" i="14"/>
  <c r="S21" i="15"/>
  <c r="N266" i="15"/>
  <c r="O266" i="15" s="1"/>
  <c r="O175" i="15"/>
  <c r="T74" i="15"/>
  <c r="M513" i="15"/>
  <c r="P513" i="15" s="1"/>
  <c r="L534" i="15"/>
  <c r="O534" i="15" s="1"/>
  <c r="T618" i="15"/>
  <c r="R728" i="15"/>
  <c r="U728" i="15" s="1"/>
  <c r="O75" i="12"/>
  <c r="Q72" i="13"/>
  <c r="T72" i="13" s="1"/>
  <c r="R139" i="13"/>
  <c r="U139" i="13" s="1"/>
  <c r="U619" i="13"/>
  <c r="U305" i="13"/>
  <c r="K423" i="14"/>
  <c r="O72" i="15"/>
  <c r="Q173" i="15"/>
  <c r="T173" i="15" s="1"/>
  <c r="T175" i="15"/>
  <c r="P176" i="8"/>
  <c r="O159" i="12"/>
  <c r="R493" i="12"/>
  <c r="U493" i="12" s="1"/>
  <c r="S760" i="13"/>
  <c r="T760" i="13" s="1"/>
  <c r="U306" i="14"/>
  <c r="S616" i="15"/>
  <c r="T616" i="15" s="1"/>
  <c r="U377" i="15"/>
  <c r="T120" i="15"/>
  <c r="P176" i="15"/>
  <c r="U173" i="15"/>
  <c r="T269" i="15"/>
  <c r="T97" i="15"/>
  <c r="P416" i="15"/>
  <c r="O141" i="11"/>
  <c r="M94" i="13"/>
  <c r="P94" i="13" s="1"/>
  <c r="P142" i="14"/>
  <c r="L94" i="15"/>
  <c r="O94" i="15" s="1"/>
  <c r="N186" i="15"/>
  <c r="P186" i="15" s="1"/>
  <c r="U375" i="15"/>
  <c r="Q377" i="1"/>
  <c r="S416" i="1"/>
  <c r="T416" i="1" s="1"/>
  <c r="L320" i="12"/>
  <c r="O320" i="12" s="1"/>
  <c r="L72" i="13"/>
  <c r="O72" i="13" s="1"/>
  <c r="U762" i="13"/>
  <c r="M303" i="13"/>
  <c r="P303" i="13" s="1"/>
  <c r="P97" i="14"/>
  <c r="R173" i="14"/>
  <c r="U173" i="14" s="1"/>
  <c r="P159" i="14"/>
  <c r="M59" i="15"/>
  <c r="P59" i="15" s="1"/>
  <c r="P61" i="15"/>
  <c r="P23" i="15"/>
  <c r="M20" i="15"/>
  <c r="M18" i="15" s="1"/>
  <c r="N44" i="15"/>
  <c r="S266" i="15"/>
  <c r="T266" i="15" s="1"/>
  <c r="T495" i="15"/>
  <c r="Q493" i="15"/>
  <c r="T493" i="15" s="1"/>
  <c r="L599" i="15"/>
  <c r="O358" i="8"/>
  <c r="M117" i="11"/>
  <c r="P117" i="11" s="1"/>
  <c r="P515" i="11"/>
  <c r="T618" i="12"/>
  <c r="M173" i="14"/>
  <c r="P173" i="14" s="1"/>
  <c r="T303" i="14"/>
  <c r="L493" i="14"/>
  <c r="O493" i="14" s="1"/>
  <c r="U303" i="14"/>
  <c r="U413" i="14"/>
  <c r="M72" i="15"/>
  <c r="P72" i="15" s="1"/>
  <c r="P74" i="15"/>
  <c r="N21" i="15"/>
  <c r="N20" i="15"/>
  <c r="N18" i="15" s="1"/>
  <c r="L173" i="15"/>
  <c r="O173" i="15" s="1"/>
  <c r="O59" i="15"/>
  <c r="T26" i="15"/>
  <c r="Q24" i="15"/>
  <c r="T24" i="15" s="1"/>
  <c r="P284" i="15"/>
  <c r="M282" i="15"/>
  <c r="P282" i="15" s="1"/>
  <c r="M333" i="15"/>
  <c r="P333" i="15" s="1"/>
  <c r="P335" i="15"/>
  <c r="P557" i="15"/>
  <c r="M555" i="15"/>
  <c r="P555" i="15" s="1"/>
  <c r="R186" i="15"/>
  <c r="U186" i="15" s="1"/>
  <c r="U692" i="15"/>
  <c r="O175" i="14"/>
  <c r="P175" i="8"/>
  <c r="P96" i="9"/>
  <c r="N282" i="12"/>
  <c r="P282" i="12" s="1"/>
  <c r="T119" i="13"/>
  <c r="K423" i="13"/>
  <c r="S728" i="13"/>
  <c r="U728" i="13" s="1"/>
  <c r="O97" i="14"/>
  <c r="O74" i="14"/>
  <c r="M320" i="14"/>
  <c r="P320" i="14" s="1"/>
  <c r="O578" i="14"/>
  <c r="P269" i="13"/>
  <c r="R493" i="14"/>
  <c r="U493" i="14" s="1"/>
  <c r="Q20" i="15"/>
  <c r="T23" i="15"/>
  <c r="Q21" i="15"/>
  <c r="U117" i="15"/>
  <c r="O157" i="15"/>
  <c r="U305" i="15"/>
  <c r="R303" i="15"/>
  <c r="U303" i="15" s="1"/>
  <c r="U268" i="15"/>
  <c r="L320" i="15"/>
  <c r="O320" i="15" s="1"/>
  <c r="O322" i="15"/>
  <c r="R413" i="15"/>
  <c r="R760" i="15"/>
  <c r="U760" i="15" s="1"/>
  <c r="R642" i="15"/>
  <c r="U642" i="15" s="1"/>
  <c r="L24" i="15"/>
  <c r="O24" i="15" s="1"/>
  <c r="O26" i="15"/>
  <c r="O335" i="15"/>
  <c r="L333" i="15"/>
  <c r="O333" i="15" s="1"/>
  <c r="R139" i="9"/>
  <c r="U139" i="9" s="1"/>
  <c r="P160" i="10"/>
  <c r="P96" i="10"/>
  <c r="P358" i="11"/>
  <c r="P188" i="12"/>
  <c r="P576" i="12"/>
  <c r="U618" i="12"/>
  <c r="T730" i="13"/>
  <c r="K374" i="14"/>
  <c r="P333" i="14"/>
  <c r="P268" i="14"/>
  <c r="R21" i="15"/>
  <c r="R20" i="15"/>
  <c r="U23" i="15"/>
  <c r="Q94" i="15"/>
  <c r="T94" i="15" s="1"/>
  <c r="T96" i="15"/>
  <c r="L375" i="15"/>
  <c r="O375" i="15" s="1"/>
  <c r="O377" i="15"/>
  <c r="Q186" i="15"/>
  <c r="T186" i="15" s="1"/>
  <c r="M266" i="15"/>
  <c r="P268" i="15"/>
  <c r="L413" i="15"/>
  <c r="O413" i="15" s="1"/>
  <c r="O415" i="15"/>
  <c r="J615" i="15"/>
  <c r="K615" i="15" s="1"/>
  <c r="K626" i="15"/>
  <c r="M375" i="15"/>
  <c r="P375" i="15" s="1"/>
  <c r="S690" i="15"/>
  <c r="T690" i="15" s="1"/>
  <c r="T642" i="15"/>
  <c r="L21" i="15"/>
  <c r="L20" i="15"/>
  <c r="O23" i="15"/>
  <c r="P19" i="15"/>
  <c r="R24" i="15"/>
  <c r="U24" i="15" s="1"/>
  <c r="U26" i="15"/>
  <c r="T377" i="15"/>
  <c r="Q375" i="15"/>
  <c r="T375" i="15" s="1"/>
  <c r="M117" i="8"/>
  <c r="P117" i="8" s="1"/>
  <c r="P61" i="9"/>
  <c r="Q139" i="9"/>
  <c r="T139" i="9" s="1"/>
  <c r="O601" i="11"/>
  <c r="U186" i="11"/>
  <c r="O284" i="13"/>
  <c r="M534" i="12"/>
  <c r="P534" i="12" s="1"/>
  <c r="Q186" i="14"/>
  <c r="T186" i="14" s="1"/>
  <c r="O173" i="14"/>
  <c r="P578" i="14"/>
  <c r="O416" i="14"/>
  <c r="P416" i="14"/>
  <c r="U692" i="14"/>
  <c r="T762" i="14"/>
  <c r="P495" i="14"/>
  <c r="M44" i="15"/>
  <c r="P46" i="15"/>
  <c r="T19" i="15"/>
  <c r="M21" i="15"/>
  <c r="Q139" i="15"/>
  <c r="T139" i="15" s="1"/>
  <c r="O188" i="15"/>
  <c r="L186" i="15"/>
  <c r="U176" i="15"/>
  <c r="M303" i="15"/>
  <c r="P303" i="15" s="1"/>
  <c r="P305" i="15"/>
  <c r="Q392" i="15"/>
  <c r="T392" i="15" s="1"/>
  <c r="T394" i="15"/>
  <c r="N599" i="15"/>
  <c r="P599" i="15" s="1"/>
  <c r="R690" i="15"/>
  <c r="O142" i="12"/>
  <c r="O139" i="14"/>
  <c r="O26" i="13"/>
  <c r="Q392" i="13"/>
  <c r="T392" i="13" s="1"/>
  <c r="T303" i="13"/>
  <c r="U176" i="13"/>
  <c r="T74" i="14"/>
  <c r="Q139" i="14"/>
  <c r="T139" i="14" s="1"/>
  <c r="Q266" i="14"/>
  <c r="T266" i="14" s="1"/>
  <c r="U268" i="13"/>
  <c r="L576" i="14"/>
  <c r="O576" i="14" s="1"/>
  <c r="T305" i="14"/>
  <c r="M117" i="14"/>
  <c r="P117" i="14" s="1"/>
  <c r="K457" i="14"/>
  <c r="J456" i="14"/>
  <c r="K456" i="14" s="1"/>
  <c r="U188" i="5"/>
  <c r="L117" i="9"/>
  <c r="O117" i="9" s="1"/>
  <c r="O74" i="10"/>
  <c r="P269" i="11"/>
  <c r="O358" i="11"/>
  <c r="P189" i="11"/>
  <c r="P285" i="12"/>
  <c r="P601" i="13"/>
  <c r="P96" i="14"/>
  <c r="O269" i="14"/>
  <c r="O61" i="14"/>
  <c r="P536" i="14"/>
  <c r="U763" i="14"/>
  <c r="P557" i="14"/>
  <c r="M555" i="14"/>
  <c r="P555" i="14" s="1"/>
  <c r="R173" i="10"/>
  <c r="U173" i="10" s="1"/>
  <c r="P97" i="11"/>
  <c r="U690" i="11"/>
  <c r="U619" i="11"/>
  <c r="T189" i="12"/>
  <c r="P333" i="12"/>
  <c r="P26" i="13"/>
  <c r="P160" i="13"/>
  <c r="T186" i="13"/>
  <c r="P157" i="14"/>
  <c r="P269" i="14"/>
  <c r="P601" i="14"/>
  <c r="Q599" i="14"/>
  <c r="T599" i="14" s="1"/>
  <c r="P268" i="11"/>
  <c r="P186" i="12"/>
  <c r="L232" i="12"/>
  <c r="M72" i="13"/>
  <c r="P72" i="13" s="1"/>
  <c r="O159" i="13"/>
  <c r="P578" i="13"/>
  <c r="K701" i="13"/>
  <c r="U618" i="13"/>
  <c r="O96" i="14"/>
  <c r="P335" i="14"/>
  <c r="O359" i="14"/>
  <c r="T415" i="14"/>
  <c r="M599" i="14"/>
  <c r="P599" i="14" s="1"/>
  <c r="U305" i="14"/>
  <c r="U415" i="14"/>
  <c r="M356" i="14"/>
  <c r="P356" i="14" s="1"/>
  <c r="P358" i="14"/>
  <c r="T306" i="9"/>
  <c r="O268" i="11"/>
  <c r="M576" i="11"/>
  <c r="P576" i="11" s="1"/>
  <c r="U119" i="12"/>
  <c r="P358" i="12"/>
  <c r="O141" i="14"/>
  <c r="P377" i="14"/>
  <c r="O26" i="14"/>
  <c r="O377" i="14"/>
  <c r="O601" i="14"/>
  <c r="M513" i="14"/>
  <c r="P513" i="14" s="1"/>
  <c r="R599" i="14"/>
  <c r="U599" i="14" s="1"/>
  <c r="P188" i="14"/>
  <c r="S616" i="14"/>
  <c r="T616" i="14" s="1"/>
  <c r="O44" i="14"/>
  <c r="L20" i="14"/>
  <c r="L18" i="14" s="1"/>
  <c r="O23" i="14"/>
  <c r="Q94" i="14"/>
  <c r="T94" i="14" s="1"/>
  <c r="T96" i="14"/>
  <c r="T19" i="14"/>
  <c r="O19" i="14"/>
  <c r="P19" i="14"/>
  <c r="T26" i="14"/>
  <c r="Q24" i="14"/>
  <c r="T24" i="14" s="1"/>
  <c r="P141" i="14"/>
  <c r="M139" i="14"/>
  <c r="P139" i="14" s="1"/>
  <c r="O159" i="14"/>
  <c r="L157" i="14"/>
  <c r="O157" i="14" s="1"/>
  <c r="L24" i="14"/>
  <c r="O24" i="14" s="1"/>
  <c r="L599" i="14"/>
  <c r="O599" i="14" s="1"/>
  <c r="P23" i="14"/>
  <c r="M20" i="14"/>
  <c r="K82" i="14"/>
  <c r="I70" i="14"/>
  <c r="K70" i="14" s="1"/>
  <c r="S173" i="8"/>
  <c r="U173" i="8" s="1"/>
  <c r="T175" i="8"/>
  <c r="P24" i="9"/>
  <c r="P96" i="11"/>
  <c r="I185" i="12"/>
  <c r="K185" i="12" s="1"/>
  <c r="O335" i="12"/>
  <c r="O26" i="12"/>
  <c r="U175" i="13"/>
  <c r="T97" i="13"/>
  <c r="M356" i="13"/>
  <c r="P356" i="13" s="1"/>
  <c r="L266" i="13"/>
  <c r="O266" i="13" s="1"/>
  <c r="T415" i="13"/>
  <c r="U616" i="13"/>
  <c r="R760" i="13"/>
  <c r="T619" i="13"/>
  <c r="U306" i="13"/>
  <c r="P46" i="14"/>
  <c r="S20" i="14"/>
  <c r="S18" i="14" s="1"/>
  <c r="N21" i="14"/>
  <c r="N20" i="14"/>
  <c r="N18" i="14" s="1"/>
  <c r="S21" i="14"/>
  <c r="U21" i="14" s="1"/>
  <c r="M21" i="14"/>
  <c r="R94" i="14"/>
  <c r="U94" i="14" s="1"/>
  <c r="U188" i="14"/>
  <c r="R186" i="14"/>
  <c r="U186" i="14" s="1"/>
  <c r="P94" i="14"/>
  <c r="N186" i="14"/>
  <c r="P186" i="14" s="1"/>
  <c r="M303" i="14"/>
  <c r="P303" i="14" s="1"/>
  <c r="P305" i="14"/>
  <c r="N72" i="14"/>
  <c r="O72" i="14" s="1"/>
  <c r="U266" i="14"/>
  <c r="O285" i="14"/>
  <c r="M375" i="14"/>
  <c r="P375" i="14" s="1"/>
  <c r="L513" i="14"/>
  <c r="O513" i="14" s="1"/>
  <c r="L320" i="14"/>
  <c r="O320" i="14" s="1"/>
  <c r="P266" i="14"/>
  <c r="L333" i="14"/>
  <c r="O333" i="14" s="1"/>
  <c r="O335" i="14"/>
  <c r="O189" i="14"/>
  <c r="R642" i="14"/>
  <c r="U642" i="14" s="1"/>
  <c r="U618" i="14"/>
  <c r="S339" i="1"/>
  <c r="O160" i="8"/>
  <c r="U19" i="14"/>
  <c r="L21" i="14"/>
  <c r="T693" i="10"/>
  <c r="L139" i="13"/>
  <c r="O139" i="13" s="1"/>
  <c r="U186" i="13"/>
  <c r="O119" i="13"/>
  <c r="O188" i="13"/>
  <c r="S266" i="13"/>
  <c r="T266" i="13" s="1"/>
  <c r="I185" i="13"/>
  <c r="K185" i="13" s="1"/>
  <c r="Q20" i="14"/>
  <c r="T23" i="14"/>
  <c r="Q21" i="14"/>
  <c r="T142" i="14"/>
  <c r="P61" i="14"/>
  <c r="S72" i="14"/>
  <c r="O46" i="14"/>
  <c r="Q157" i="14"/>
  <c r="T157" i="14" s="1"/>
  <c r="Q173" i="14"/>
  <c r="T173" i="14" s="1"/>
  <c r="P359" i="14"/>
  <c r="O266" i="14"/>
  <c r="M534" i="14"/>
  <c r="P534" i="14" s="1"/>
  <c r="M59" i="14"/>
  <c r="P59" i="14" s="1"/>
  <c r="P415" i="14"/>
  <c r="M413" i="14"/>
  <c r="P413" i="14" s="1"/>
  <c r="R690" i="14"/>
  <c r="S690" i="14"/>
  <c r="T690" i="14" s="1"/>
  <c r="Q760" i="14"/>
  <c r="T760" i="14" s="1"/>
  <c r="T616" i="9"/>
  <c r="O336" i="11"/>
  <c r="R20" i="14"/>
  <c r="U23" i="14"/>
  <c r="L94" i="14"/>
  <c r="I71" i="14"/>
  <c r="K71" i="14" s="1"/>
  <c r="K83" i="14"/>
  <c r="O282" i="14"/>
  <c r="M576" i="14"/>
  <c r="P576" i="14" s="1"/>
  <c r="P358" i="10"/>
  <c r="P322" i="10"/>
  <c r="O285" i="12"/>
  <c r="O601" i="12"/>
  <c r="Q139" i="13"/>
  <c r="T139" i="13" s="1"/>
  <c r="M139" i="13"/>
  <c r="P139" i="13" s="1"/>
  <c r="O557" i="13"/>
  <c r="T268" i="13"/>
  <c r="P74" i="14"/>
  <c r="M24" i="14"/>
  <c r="P24" i="14" s="1"/>
  <c r="U159" i="14"/>
  <c r="R157" i="14"/>
  <c r="U157" i="14" s="1"/>
  <c r="O284" i="14"/>
  <c r="L186" i="14"/>
  <c r="U119" i="14"/>
  <c r="R117" i="14"/>
  <c r="U117" i="14" s="1"/>
  <c r="O119" i="14"/>
  <c r="L117" i="14"/>
  <c r="O117" i="14" s="1"/>
  <c r="O415" i="14"/>
  <c r="L413" i="14"/>
  <c r="O413" i="14" s="1"/>
  <c r="J615" i="14"/>
  <c r="K615" i="14" s="1"/>
  <c r="K626" i="14"/>
  <c r="Q728" i="14"/>
  <c r="T728" i="14" s="1"/>
  <c r="S306" i="1"/>
  <c r="U141" i="12"/>
  <c r="L157" i="10"/>
  <c r="O157" i="10" s="1"/>
  <c r="P175" i="10"/>
  <c r="O415" i="10"/>
  <c r="U693" i="10"/>
  <c r="P173" i="11"/>
  <c r="M320" i="11"/>
  <c r="P320" i="11" s="1"/>
  <c r="M139" i="12"/>
  <c r="P139" i="12" s="1"/>
  <c r="O160" i="13"/>
  <c r="M72" i="14"/>
  <c r="U24" i="14"/>
  <c r="U26" i="14"/>
  <c r="P284" i="14"/>
  <c r="M282" i="14"/>
  <c r="P282" i="14" s="1"/>
  <c r="P44" i="14"/>
  <c r="U120" i="14"/>
  <c r="R139" i="14"/>
  <c r="U139" i="14" s="1"/>
  <c r="U176" i="14"/>
  <c r="S375" i="14"/>
  <c r="U375" i="14" s="1"/>
  <c r="L534" i="14"/>
  <c r="O534" i="14" s="1"/>
  <c r="O536" i="14"/>
  <c r="Q413" i="14"/>
  <c r="T413" i="14" s="1"/>
  <c r="T377" i="14"/>
  <c r="R760" i="14"/>
  <c r="U760" i="14" s="1"/>
  <c r="S203" i="1"/>
  <c r="U731" i="4"/>
  <c r="P335" i="10"/>
  <c r="O94" i="11"/>
  <c r="O285" i="11"/>
  <c r="Q94" i="12"/>
  <c r="T94" i="12" s="1"/>
  <c r="O46" i="12"/>
  <c r="O333" i="13"/>
  <c r="L375" i="13"/>
  <c r="O375" i="13" s="1"/>
  <c r="O377" i="13"/>
  <c r="O579" i="13"/>
  <c r="U375" i="9"/>
  <c r="O335" i="10"/>
  <c r="K701" i="9"/>
  <c r="K83" i="11"/>
  <c r="T269" i="11"/>
  <c r="T692" i="11"/>
  <c r="Q493" i="12"/>
  <c r="T493" i="12" s="1"/>
  <c r="U731" i="12"/>
  <c r="I70" i="13"/>
  <c r="K70" i="13" s="1"/>
  <c r="L303" i="13"/>
  <c r="O303" i="13" s="1"/>
  <c r="T375" i="9"/>
  <c r="O285" i="10"/>
  <c r="S20" i="11"/>
  <c r="S18" i="11" s="1"/>
  <c r="T730" i="11"/>
  <c r="U188" i="12"/>
  <c r="M493" i="13"/>
  <c r="P493" i="13" s="1"/>
  <c r="U74" i="12"/>
  <c r="U728" i="12"/>
  <c r="O576" i="13"/>
  <c r="U74" i="13"/>
  <c r="R72" i="13"/>
  <c r="U72" i="13" s="1"/>
  <c r="L320" i="13"/>
  <c r="O320" i="13" s="1"/>
  <c r="O322" i="13"/>
  <c r="T416" i="11"/>
  <c r="T188" i="12"/>
  <c r="Q173" i="12"/>
  <c r="T173" i="12" s="1"/>
  <c r="M266" i="13"/>
  <c r="P266" i="13" s="1"/>
  <c r="R303" i="13"/>
  <c r="U303" i="13" s="1"/>
  <c r="P579" i="13"/>
  <c r="N599" i="13"/>
  <c r="P599" i="13" s="1"/>
  <c r="L413" i="13"/>
  <c r="O413" i="13" s="1"/>
  <c r="O415" i="13"/>
  <c r="K374" i="8"/>
  <c r="P46" i="12"/>
  <c r="O358" i="12"/>
  <c r="T176" i="13"/>
  <c r="U21" i="13"/>
  <c r="U119" i="13"/>
  <c r="R117" i="13"/>
  <c r="U117" i="13" s="1"/>
  <c r="O335" i="13"/>
  <c r="M513" i="4"/>
  <c r="P513" i="4" s="1"/>
  <c r="O59" i="7"/>
  <c r="T72" i="11"/>
  <c r="U378" i="12"/>
  <c r="Q20" i="13"/>
  <c r="T23" i="13"/>
  <c r="Q21" i="13"/>
  <c r="T21" i="13" s="1"/>
  <c r="T19" i="13"/>
  <c r="T94" i="13"/>
  <c r="T26" i="13"/>
  <c r="Q24" i="13"/>
  <c r="T24" i="13" s="1"/>
  <c r="M157" i="13"/>
  <c r="P157" i="13" s="1"/>
  <c r="P159" i="13"/>
  <c r="N282" i="13"/>
  <c r="P282" i="13" s="1"/>
  <c r="R392" i="13"/>
  <c r="U392" i="13" s="1"/>
  <c r="U394" i="13"/>
  <c r="U690" i="13"/>
  <c r="M534" i="13"/>
  <c r="P534" i="13" s="1"/>
  <c r="P536" i="13"/>
  <c r="O601" i="13"/>
  <c r="P557" i="13"/>
  <c r="O269" i="12"/>
  <c r="O72" i="12"/>
  <c r="N20" i="13"/>
  <c r="N18" i="13" s="1"/>
  <c r="Q117" i="13"/>
  <c r="T117" i="13" s="1"/>
  <c r="U94" i="13"/>
  <c r="P44" i="13"/>
  <c r="R24" i="13"/>
  <c r="U24" i="13" s="1"/>
  <c r="T96" i="13"/>
  <c r="U731" i="7"/>
  <c r="T644" i="11"/>
  <c r="M375" i="11"/>
  <c r="P375" i="11" s="1"/>
  <c r="O46" i="11"/>
  <c r="U26" i="12"/>
  <c r="T269" i="12"/>
  <c r="O189" i="12"/>
  <c r="R186" i="12"/>
  <c r="U186" i="12" s="1"/>
  <c r="T378" i="12"/>
  <c r="Q616" i="12"/>
  <c r="T616" i="12" s="1"/>
  <c r="T728" i="12"/>
  <c r="P75" i="12"/>
  <c r="L303" i="12"/>
  <c r="O303" i="12" s="1"/>
  <c r="P62" i="12"/>
  <c r="N21" i="13"/>
  <c r="O21" i="13" s="1"/>
  <c r="M24" i="13"/>
  <c r="P24" i="13" s="1"/>
  <c r="L59" i="13"/>
  <c r="O59" i="13" s="1"/>
  <c r="O61" i="13"/>
  <c r="U96" i="13"/>
  <c r="P61" i="13"/>
  <c r="L94" i="13"/>
  <c r="O94" i="13" s="1"/>
  <c r="Q173" i="13"/>
  <c r="T173" i="13" s="1"/>
  <c r="U188" i="13"/>
  <c r="N173" i="13"/>
  <c r="O173" i="13" s="1"/>
  <c r="O189" i="13"/>
  <c r="P189" i="13"/>
  <c r="P335" i="13"/>
  <c r="O536" i="13"/>
  <c r="L534" i="13"/>
  <c r="O534" i="13" s="1"/>
  <c r="L493" i="13"/>
  <c r="O493" i="13" s="1"/>
  <c r="T188" i="13"/>
  <c r="L232" i="13"/>
  <c r="M333" i="13"/>
  <c r="P333" i="13" s="1"/>
  <c r="R157" i="13"/>
  <c r="U157" i="13" s="1"/>
  <c r="M576" i="13"/>
  <c r="P576" i="13" s="1"/>
  <c r="T690" i="13"/>
  <c r="O61" i="10"/>
  <c r="M24" i="11"/>
  <c r="P24" i="11" s="1"/>
  <c r="T119" i="10"/>
  <c r="M117" i="12"/>
  <c r="P117" i="12" s="1"/>
  <c r="P157" i="12"/>
  <c r="N599" i="12"/>
  <c r="O599" i="12" s="1"/>
  <c r="T74" i="12"/>
  <c r="P74" i="12"/>
  <c r="U730" i="12"/>
  <c r="L20" i="13"/>
  <c r="O23" i="13"/>
  <c r="L24" i="13"/>
  <c r="O24" i="13" s="1"/>
  <c r="O46" i="13"/>
  <c r="L44" i="13"/>
  <c r="U97" i="13"/>
  <c r="L157" i="13"/>
  <c r="O157" i="13" s="1"/>
  <c r="U19" i="13"/>
  <c r="N186" i="13"/>
  <c r="P186" i="13" s="1"/>
  <c r="P23" i="13"/>
  <c r="M20" i="13"/>
  <c r="M173" i="13"/>
  <c r="P175" i="13"/>
  <c r="L356" i="13"/>
  <c r="O356" i="13" s="1"/>
  <c r="N555" i="13"/>
  <c r="O555" i="13" s="1"/>
  <c r="M375" i="13"/>
  <c r="P375" i="13" s="1"/>
  <c r="P176" i="13"/>
  <c r="P359" i="13"/>
  <c r="Q616" i="13"/>
  <c r="T616" i="13" s="1"/>
  <c r="P284" i="9"/>
  <c r="S20" i="12"/>
  <c r="S18" i="12" s="1"/>
  <c r="O415" i="11"/>
  <c r="T119" i="12"/>
  <c r="R20" i="13"/>
  <c r="U23" i="13"/>
  <c r="I71" i="13"/>
  <c r="K71" i="13" s="1"/>
  <c r="K83" i="13"/>
  <c r="P46" i="13"/>
  <c r="S20" i="13"/>
  <c r="S18" i="13" s="1"/>
  <c r="P59" i="13"/>
  <c r="P284" i="13"/>
  <c r="P415" i="13"/>
  <c r="M413" i="13"/>
  <c r="P413" i="13" s="1"/>
  <c r="T189" i="13"/>
  <c r="T377" i="13"/>
  <c r="Q375" i="13"/>
  <c r="T375" i="13" s="1"/>
  <c r="Q493" i="13"/>
  <c r="T493" i="13" s="1"/>
  <c r="M513" i="13"/>
  <c r="P513" i="13" s="1"/>
  <c r="U375" i="8"/>
  <c r="L94" i="9"/>
  <c r="O94" i="9" s="1"/>
  <c r="U306" i="9"/>
  <c r="O96" i="10"/>
  <c r="U97" i="11"/>
  <c r="Q117" i="12"/>
  <c r="P61" i="12"/>
  <c r="S117" i="12"/>
  <c r="U117" i="12" s="1"/>
  <c r="O175" i="12"/>
  <c r="Q157" i="12"/>
  <c r="T157" i="12" s="1"/>
  <c r="Q392" i="12"/>
  <c r="T392" i="12" s="1"/>
  <c r="O284" i="12"/>
  <c r="O176" i="12"/>
  <c r="T731" i="9"/>
  <c r="R690" i="10"/>
  <c r="U690" i="10" s="1"/>
  <c r="P173" i="10"/>
  <c r="O139" i="11"/>
  <c r="Q24" i="11"/>
  <c r="T24" i="11" s="1"/>
  <c r="P141" i="11"/>
  <c r="M72" i="12"/>
  <c r="P72" i="12" s="1"/>
  <c r="P159" i="12"/>
  <c r="P266" i="12"/>
  <c r="I70" i="12"/>
  <c r="K70" i="12" s="1"/>
  <c r="P268" i="12"/>
  <c r="U413" i="12"/>
  <c r="O74" i="12"/>
  <c r="Q599" i="12"/>
  <c r="T599" i="12" s="1"/>
  <c r="T690" i="11"/>
  <c r="M555" i="12"/>
  <c r="P555" i="12" s="1"/>
  <c r="P578" i="12"/>
  <c r="U693" i="12"/>
  <c r="P97" i="10"/>
  <c r="Q117" i="10"/>
  <c r="T117" i="10" s="1"/>
  <c r="M555" i="10"/>
  <c r="P555" i="10" s="1"/>
  <c r="P175" i="11"/>
  <c r="T175" i="11"/>
  <c r="M303" i="12"/>
  <c r="P303" i="12" s="1"/>
  <c r="O356" i="12"/>
  <c r="O576" i="12"/>
  <c r="U145" i="12"/>
  <c r="Q72" i="12"/>
  <c r="T72" i="12" s="1"/>
  <c r="P175" i="9"/>
  <c r="K701" i="10"/>
  <c r="P139" i="11"/>
  <c r="Q266" i="11"/>
  <c r="T266" i="11" s="1"/>
  <c r="U188" i="11"/>
  <c r="T415" i="11"/>
  <c r="P26" i="12"/>
  <c r="L333" i="12"/>
  <c r="O333" i="12" s="1"/>
  <c r="Q186" i="12"/>
  <c r="T186" i="12" s="1"/>
  <c r="P189" i="12"/>
  <c r="U72" i="12"/>
  <c r="M356" i="12"/>
  <c r="P356" i="12" s="1"/>
  <c r="O578" i="12"/>
  <c r="L493" i="12"/>
  <c r="O493" i="12" s="1"/>
  <c r="L513" i="12"/>
  <c r="O513" i="12" s="1"/>
  <c r="R642" i="12"/>
  <c r="U642" i="12" s="1"/>
  <c r="L117" i="12"/>
  <c r="O117" i="12" s="1"/>
  <c r="M375" i="12"/>
  <c r="P375" i="12" s="1"/>
  <c r="T120" i="12"/>
  <c r="R599" i="12"/>
  <c r="U599" i="12" s="1"/>
  <c r="U601" i="12"/>
  <c r="K701" i="12"/>
  <c r="M117" i="7"/>
  <c r="P117" i="7" s="1"/>
  <c r="P159" i="10"/>
  <c r="T119" i="11"/>
  <c r="P305" i="11"/>
  <c r="U413" i="11"/>
  <c r="N20" i="12"/>
  <c r="N18" i="12" s="1"/>
  <c r="U305" i="12"/>
  <c r="M24" i="12"/>
  <c r="P24" i="12" s="1"/>
  <c r="P175" i="12"/>
  <c r="R392" i="12"/>
  <c r="U392" i="12" s="1"/>
  <c r="T268" i="12"/>
  <c r="T763" i="4"/>
  <c r="U268" i="12"/>
  <c r="R266" i="12"/>
  <c r="U266" i="12" s="1"/>
  <c r="T692" i="12"/>
  <c r="Q690" i="12"/>
  <c r="T690" i="12" s="1"/>
  <c r="Q392" i="9"/>
  <c r="T392" i="9" s="1"/>
  <c r="U303" i="9"/>
  <c r="T268" i="10"/>
  <c r="R493" i="10"/>
  <c r="U493" i="10" s="1"/>
  <c r="M599" i="10"/>
  <c r="P599" i="10" s="1"/>
  <c r="L44" i="11"/>
  <c r="O44" i="11" s="1"/>
  <c r="O269" i="11"/>
  <c r="N356" i="11"/>
  <c r="P356" i="11" s="1"/>
  <c r="T731" i="11"/>
  <c r="U416" i="11"/>
  <c r="U692" i="11"/>
  <c r="L413" i="11"/>
  <c r="O413" i="11" s="1"/>
  <c r="U618" i="11"/>
  <c r="L20" i="12"/>
  <c r="O23" i="12"/>
  <c r="N173" i="12"/>
  <c r="O268" i="12"/>
  <c r="L266" i="12"/>
  <c r="O266" i="12" s="1"/>
  <c r="Q139" i="12"/>
  <c r="T139" i="12" s="1"/>
  <c r="T141" i="12"/>
  <c r="T305" i="12"/>
  <c r="Q24" i="12"/>
  <c r="T24" i="12" s="1"/>
  <c r="T26" i="12"/>
  <c r="P335" i="12"/>
  <c r="P601" i="12"/>
  <c r="U269" i="12"/>
  <c r="I71" i="12"/>
  <c r="K71" i="12" s="1"/>
  <c r="K83" i="12"/>
  <c r="L59" i="12"/>
  <c r="O59" i="12" s="1"/>
  <c r="O61" i="12"/>
  <c r="U19" i="12"/>
  <c r="M513" i="12"/>
  <c r="P513" i="12" s="1"/>
  <c r="P515" i="12"/>
  <c r="N21" i="12"/>
  <c r="P21" i="12" s="1"/>
  <c r="P142" i="8"/>
  <c r="Q599" i="8"/>
  <c r="T599" i="8" s="1"/>
  <c r="P416" i="9"/>
  <c r="T375" i="10"/>
  <c r="P284" i="10"/>
  <c r="U96" i="11"/>
  <c r="N157" i="11"/>
  <c r="P157" i="11" s="1"/>
  <c r="U693" i="11"/>
  <c r="O534" i="11"/>
  <c r="U303" i="11"/>
  <c r="T618" i="11"/>
  <c r="K701" i="11"/>
  <c r="R20" i="12"/>
  <c r="U23" i="12"/>
  <c r="L24" i="12"/>
  <c r="O24" i="12" s="1"/>
  <c r="T266" i="12"/>
  <c r="S21" i="12"/>
  <c r="U21" i="12" s="1"/>
  <c r="O415" i="12"/>
  <c r="L413" i="12"/>
  <c r="O413" i="12" s="1"/>
  <c r="M413" i="12"/>
  <c r="P413" i="12" s="1"/>
  <c r="P415" i="12"/>
  <c r="U186" i="10"/>
  <c r="T413" i="12"/>
  <c r="P335" i="8"/>
  <c r="R642" i="9"/>
  <c r="U642" i="9" s="1"/>
  <c r="O175" i="8"/>
  <c r="N282" i="10"/>
  <c r="P282" i="10" s="1"/>
  <c r="S266" i="10"/>
  <c r="U266" i="10" s="1"/>
  <c r="R642" i="10"/>
  <c r="U642" i="10" s="1"/>
  <c r="O74" i="11"/>
  <c r="T120" i="11"/>
  <c r="T188" i="11"/>
  <c r="Q493" i="11"/>
  <c r="T493" i="11" s="1"/>
  <c r="Q392" i="11"/>
  <c r="T392" i="11" s="1"/>
  <c r="O536" i="11"/>
  <c r="U119" i="11"/>
  <c r="O141" i="12"/>
  <c r="L139" i="12"/>
  <c r="O139" i="12" s="1"/>
  <c r="R24" i="12"/>
  <c r="U24" i="12" s="1"/>
  <c r="O44" i="12"/>
  <c r="Q375" i="12"/>
  <c r="T377" i="12"/>
  <c r="P495" i="12"/>
  <c r="M493" i="12"/>
  <c r="P493" i="12" s="1"/>
  <c r="P322" i="12"/>
  <c r="M320" i="12"/>
  <c r="P320" i="12" s="1"/>
  <c r="Q20" i="12"/>
  <c r="T23" i="12"/>
  <c r="Q21" i="12"/>
  <c r="R392" i="10"/>
  <c r="U392" i="10" s="1"/>
  <c r="O97" i="11"/>
  <c r="L320" i="11"/>
  <c r="O320" i="11" s="1"/>
  <c r="L555" i="12"/>
  <c r="O555" i="12" s="1"/>
  <c r="T303" i="9"/>
  <c r="T188" i="10"/>
  <c r="M333" i="10"/>
  <c r="P333" i="10" s="1"/>
  <c r="O142" i="11"/>
  <c r="U117" i="11"/>
  <c r="U306" i="11"/>
  <c r="Q616" i="11"/>
  <c r="T616" i="11" s="1"/>
  <c r="P335" i="11"/>
  <c r="P159" i="11"/>
  <c r="P23" i="12"/>
  <c r="M20" i="12"/>
  <c r="M18" i="12" s="1"/>
  <c r="M59" i="12"/>
  <c r="P59" i="12" s="1"/>
  <c r="P19" i="12"/>
  <c r="R139" i="12"/>
  <c r="U139" i="12" s="1"/>
  <c r="S303" i="12"/>
  <c r="T415" i="12"/>
  <c r="M94" i="12"/>
  <c r="P94" i="12" s="1"/>
  <c r="L375" i="12"/>
  <c r="O375" i="12" s="1"/>
  <c r="U415" i="12"/>
  <c r="M44" i="12"/>
  <c r="Q760" i="12"/>
  <c r="T760" i="12" s="1"/>
  <c r="O61" i="11"/>
  <c r="U188" i="10"/>
  <c r="P306" i="11"/>
  <c r="U618" i="7"/>
  <c r="O74" i="8"/>
  <c r="L303" i="10"/>
  <c r="O303" i="10" s="1"/>
  <c r="T616" i="10"/>
  <c r="L356" i="11"/>
  <c r="R616" i="9"/>
  <c r="U616" i="9" s="1"/>
  <c r="U763" i="9"/>
  <c r="T186" i="10"/>
  <c r="L266" i="11"/>
  <c r="O266" i="11" s="1"/>
  <c r="M555" i="11"/>
  <c r="P555" i="11" s="1"/>
  <c r="P557" i="11"/>
  <c r="P188" i="11"/>
  <c r="M186" i="11"/>
  <c r="P186" i="11" s="1"/>
  <c r="R642" i="11"/>
  <c r="U642" i="11" s="1"/>
  <c r="M375" i="9"/>
  <c r="P375" i="9" s="1"/>
  <c r="R266" i="11"/>
  <c r="U266" i="11" s="1"/>
  <c r="U762" i="11"/>
  <c r="R760" i="11"/>
  <c r="U760" i="11" s="1"/>
  <c r="Q760" i="10"/>
  <c r="T760" i="10" s="1"/>
  <c r="L599" i="10"/>
  <c r="O599" i="10" s="1"/>
  <c r="U416" i="10"/>
  <c r="P333" i="11"/>
  <c r="U616" i="11"/>
  <c r="O188" i="11"/>
  <c r="L186" i="11"/>
  <c r="O186" i="11" s="1"/>
  <c r="U692" i="7"/>
  <c r="Q413" i="9"/>
  <c r="T413" i="9" s="1"/>
  <c r="N356" i="10"/>
  <c r="P356" i="10" s="1"/>
  <c r="O59" i="11"/>
  <c r="R94" i="11"/>
  <c r="U94" i="11" s="1"/>
  <c r="T413" i="11"/>
  <c r="M493" i="11"/>
  <c r="P493" i="11" s="1"/>
  <c r="N303" i="11"/>
  <c r="P303" i="11" s="1"/>
  <c r="Q599" i="11"/>
  <c r="T599" i="11" s="1"/>
  <c r="M495" i="1"/>
  <c r="P23" i="11"/>
  <c r="M20" i="11"/>
  <c r="M18" i="11" s="1"/>
  <c r="M120" i="1"/>
  <c r="P120" i="1" s="1"/>
  <c r="L493" i="11"/>
  <c r="O493" i="11" s="1"/>
  <c r="O495" i="11"/>
  <c r="S728" i="11"/>
  <c r="T728" i="11" s="1"/>
  <c r="T730" i="7"/>
  <c r="O284" i="9"/>
  <c r="P189" i="9"/>
  <c r="U119" i="9"/>
  <c r="T120" i="10"/>
  <c r="M576" i="10"/>
  <c r="P576" i="10" s="1"/>
  <c r="L534" i="10"/>
  <c r="O534" i="10" s="1"/>
  <c r="Q20" i="11"/>
  <c r="T23" i="11"/>
  <c r="Q21" i="11"/>
  <c r="R24" i="11"/>
  <c r="U24" i="11" s="1"/>
  <c r="U26" i="11"/>
  <c r="P19" i="11"/>
  <c r="L24" i="11"/>
  <c r="O24" i="11" s="1"/>
  <c r="O26" i="11"/>
  <c r="T74" i="11"/>
  <c r="M266" i="11"/>
  <c r="P266" i="11" s="1"/>
  <c r="R157" i="11"/>
  <c r="U157" i="11" s="1"/>
  <c r="U159" i="11"/>
  <c r="U175" i="11"/>
  <c r="T305" i="11"/>
  <c r="Q303" i="11"/>
  <c r="T303" i="11" s="1"/>
  <c r="L333" i="11"/>
  <c r="O333" i="11" s="1"/>
  <c r="O335" i="11"/>
  <c r="N599" i="11"/>
  <c r="O599" i="11" s="1"/>
  <c r="U730" i="11"/>
  <c r="R728" i="11"/>
  <c r="I412" i="11"/>
  <c r="K412" i="11" s="1"/>
  <c r="K423" i="11"/>
  <c r="N537" i="1"/>
  <c r="M59" i="11"/>
  <c r="P59" i="11" s="1"/>
  <c r="P61" i="11"/>
  <c r="P536" i="11"/>
  <c r="M534" i="11"/>
  <c r="P534" i="11" s="1"/>
  <c r="M72" i="11"/>
  <c r="P74" i="11"/>
  <c r="M413" i="11"/>
  <c r="P413" i="11" s="1"/>
  <c r="P415" i="11"/>
  <c r="R203" i="1"/>
  <c r="T303" i="7"/>
  <c r="U728" i="7"/>
  <c r="O416" i="8"/>
  <c r="M94" i="9"/>
  <c r="P94" i="9" s="1"/>
  <c r="R690" i="9"/>
  <c r="U690" i="9" s="1"/>
  <c r="U97" i="10"/>
  <c r="U377" i="10"/>
  <c r="M303" i="10"/>
  <c r="P303" i="10" s="1"/>
  <c r="U731" i="10"/>
  <c r="L21" i="11"/>
  <c r="L20" i="11"/>
  <c r="O23" i="11"/>
  <c r="T141" i="11"/>
  <c r="Q139" i="11"/>
  <c r="L232" i="11"/>
  <c r="O243" i="11"/>
  <c r="K82" i="11"/>
  <c r="I70" i="11"/>
  <c r="K70" i="11" s="1"/>
  <c r="O282" i="11"/>
  <c r="Q186" i="11"/>
  <c r="T186" i="11" s="1"/>
  <c r="P285" i="11"/>
  <c r="S139" i="11"/>
  <c r="U139" i="11" s="1"/>
  <c r="U141" i="11"/>
  <c r="N72" i="11"/>
  <c r="O72" i="11" s="1"/>
  <c r="T117" i="11"/>
  <c r="L173" i="11"/>
  <c r="O173" i="11" s="1"/>
  <c r="O175" i="11"/>
  <c r="O377" i="11"/>
  <c r="L375" i="11"/>
  <c r="O375" i="11" s="1"/>
  <c r="P601" i="11"/>
  <c r="N21" i="11"/>
  <c r="N20" i="11"/>
  <c r="N18" i="11" s="1"/>
  <c r="P282" i="11"/>
  <c r="L303" i="11"/>
  <c r="O305" i="11"/>
  <c r="O557" i="11"/>
  <c r="L555" i="11"/>
  <c r="O555" i="11" s="1"/>
  <c r="T416" i="7"/>
  <c r="O534" i="7"/>
  <c r="T120" i="8"/>
  <c r="M303" i="9"/>
  <c r="P303" i="9" s="1"/>
  <c r="M534" i="9"/>
  <c r="P534" i="9" s="1"/>
  <c r="M599" i="9"/>
  <c r="P599" i="9" s="1"/>
  <c r="R493" i="9"/>
  <c r="U493" i="9" s="1"/>
  <c r="O46" i="10"/>
  <c r="O188" i="10"/>
  <c r="K374" i="10"/>
  <c r="R413" i="10"/>
  <c r="U413" i="10" s="1"/>
  <c r="T72" i="10"/>
  <c r="R21" i="11"/>
  <c r="R20" i="11"/>
  <c r="U23" i="11"/>
  <c r="Q94" i="11"/>
  <c r="T94" i="11" s="1"/>
  <c r="T96" i="11"/>
  <c r="U120" i="11"/>
  <c r="M21" i="11"/>
  <c r="T142" i="11"/>
  <c r="L117" i="11"/>
  <c r="O117" i="11" s="1"/>
  <c r="P284" i="11"/>
  <c r="T173" i="11"/>
  <c r="U72" i="11"/>
  <c r="U269" i="11"/>
  <c r="L576" i="11"/>
  <c r="O576" i="11" s="1"/>
  <c r="U495" i="11"/>
  <c r="R493" i="11"/>
  <c r="U493" i="11" s="1"/>
  <c r="L117" i="8"/>
  <c r="O117" i="8" s="1"/>
  <c r="R232" i="1"/>
  <c r="Q760" i="6"/>
  <c r="T760" i="6" s="1"/>
  <c r="U189" i="7"/>
  <c r="O97" i="9"/>
  <c r="R157" i="9"/>
  <c r="U157" i="9" s="1"/>
  <c r="P188" i="9"/>
  <c r="K374" i="9"/>
  <c r="P24" i="10"/>
  <c r="T730" i="10"/>
  <c r="T269" i="10"/>
  <c r="M44" i="11"/>
  <c r="P46" i="11"/>
  <c r="T19" i="11"/>
  <c r="S21" i="11"/>
  <c r="O96" i="11"/>
  <c r="P94" i="11"/>
  <c r="O284" i="11"/>
  <c r="R173" i="11"/>
  <c r="U173" i="11" s="1"/>
  <c r="U74" i="11"/>
  <c r="P142" i="11"/>
  <c r="L513" i="11"/>
  <c r="O513" i="11" s="1"/>
  <c r="O515" i="11"/>
  <c r="T377" i="11"/>
  <c r="Q375" i="11"/>
  <c r="T375" i="11" s="1"/>
  <c r="O602" i="11"/>
  <c r="U415" i="11"/>
  <c r="P413" i="9"/>
  <c r="P515" i="10"/>
  <c r="M513" i="10"/>
  <c r="P513" i="10" s="1"/>
  <c r="U416" i="6"/>
  <c r="U306" i="6"/>
  <c r="O176" i="8"/>
  <c r="L333" i="10"/>
  <c r="O333" i="10" s="1"/>
  <c r="O335" i="9"/>
  <c r="U188" i="9"/>
  <c r="Q642" i="9"/>
  <c r="T642" i="9" s="1"/>
  <c r="R94" i="10"/>
  <c r="U94" i="10" s="1"/>
  <c r="M94" i="10"/>
  <c r="P94" i="10" s="1"/>
  <c r="M157" i="10"/>
  <c r="P157" i="10" s="1"/>
  <c r="U305" i="10"/>
  <c r="M375" i="10"/>
  <c r="P375" i="10" s="1"/>
  <c r="S728" i="10"/>
  <c r="T728" i="10" s="1"/>
  <c r="P268" i="10"/>
  <c r="U762" i="10"/>
  <c r="R760" i="10"/>
  <c r="U760" i="10" s="1"/>
  <c r="P142" i="5"/>
  <c r="P188" i="8"/>
  <c r="T268" i="8"/>
  <c r="Q375" i="8"/>
  <c r="T375" i="8" s="1"/>
  <c r="O62" i="8"/>
  <c r="M493" i="9"/>
  <c r="P493" i="9" s="1"/>
  <c r="L493" i="9"/>
  <c r="O493" i="9" s="1"/>
  <c r="T74" i="10"/>
  <c r="Q139" i="10"/>
  <c r="T139" i="10" s="1"/>
  <c r="S303" i="10"/>
  <c r="T303" i="10" s="1"/>
  <c r="P266" i="10"/>
  <c r="T618" i="10"/>
  <c r="T378" i="10"/>
  <c r="U378" i="10"/>
  <c r="T728" i="7"/>
  <c r="U188" i="8"/>
  <c r="M513" i="8"/>
  <c r="P513" i="8" s="1"/>
  <c r="P47" i="8"/>
  <c r="R392" i="8"/>
  <c r="U392" i="8" s="1"/>
  <c r="U142" i="8"/>
  <c r="S20" i="9"/>
  <c r="S18" i="9" s="1"/>
  <c r="O173" i="9"/>
  <c r="N282" i="9"/>
  <c r="P282" i="9" s="1"/>
  <c r="T378" i="9"/>
  <c r="T763" i="9"/>
  <c r="U74" i="10"/>
  <c r="P157" i="9"/>
  <c r="L513" i="10"/>
  <c r="O513" i="10" s="1"/>
  <c r="O141" i="10"/>
  <c r="L139" i="10"/>
  <c r="O139" i="10" s="1"/>
  <c r="O495" i="10"/>
  <c r="L493" i="10"/>
  <c r="O493" i="10" s="1"/>
  <c r="P176" i="10"/>
  <c r="Q690" i="10"/>
  <c r="T690" i="10" s="1"/>
  <c r="T692" i="10"/>
  <c r="R139" i="10"/>
  <c r="U139" i="10" s="1"/>
  <c r="L493" i="7"/>
  <c r="O493" i="7" s="1"/>
  <c r="P335" i="9"/>
  <c r="T762" i="9"/>
  <c r="M117" i="10"/>
  <c r="P117" i="10" s="1"/>
  <c r="M72" i="10"/>
  <c r="P74" i="10"/>
  <c r="O175" i="10"/>
  <c r="L173" i="10"/>
  <c r="O173" i="10" s="1"/>
  <c r="N186" i="10"/>
  <c r="O186" i="10" s="1"/>
  <c r="R599" i="10"/>
  <c r="U599" i="10" s="1"/>
  <c r="U601" i="10"/>
  <c r="L303" i="7"/>
  <c r="O303" i="7" s="1"/>
  <c r="P305" i="7"/>
  <c r="U416" i="7"/>
  <c r="S20" i="8"/>
  <c r="S18" i="8" s="1"/>
  <c r="L534" i="8"/>
  <c r="O534" i="8" s="1"/>
  <c r="O515" i="8"/>
  <c r="U762" i="8"/>
  <c r="R24" i="9"/>
  <c r="U24" i="9" s="1"/>
  <c r="U97" i="9"/>
  <c r="T120" i="9"/>
  <c r="U120" i="9"/>
  <c r="T416" i="9"/>
  <c r="T728" i="9"/>
  <c r="N44" i="10"/>
  <c r="L94" i="10"/>
  <c r="O94" i="10" s="1"/>
  <c r="N72" i="10"/>
  <c r="O72" i="10" s="1"/>
  <c r="L117" i="10"/>
  <c r="O117" i="10" s="1"/>
  <c r="O119" i="10"/>
  <c r="L320" i="10"/>
  <c r="O320" i="10" s="1"/>
  <c r="Q392" i="10"/>
  <c r="T392" i="10" s="1"/>
  <c r="O243" i="10"/>
  <c r="L232" i="10"/>
  <c r="R60" i="1"/>
  <c r="U60" i="1" s="1"/>
  <c r="N176" i="1"/>
  <c r="M203" i="1"/>
  <c r="M186" i="10"/>
  <c r="P188" i="10"/>
  <c r="K423" i="6"/>
  <c r="O160" i="6"/>
  <c r="K374" i="7"/>
  <c r="P61" i="8"/>
  <c r="O188" i="8"/>
  <c r="L72" i="8"/>
  <c r="O72" i="8" s="1"/>
  <c r="L333" i="8"/>
  <c r="O333" i="8" s="1"/>
  <c r="O305" i="8"/>
  <c r="R760" i="8"/>
  <c r="U760" i="8" s="1"/>
  <c r="O268" i="7"/>
  <c r="P46" i="9"/>
  <c r="L375" i="9"/>
  <c r="O375" i="9" s="1"/>
  <c r="U645" i="9"/>
  <c r="T692" i="9"/>
  <c r="L576" i="9"/>
  <c r="O576" i="9" s="1"/>
  <c r="P160" i="9"/>
  <c r="O47" i="9"/>
  <c r="L21" i="10"/>
  <c r="L20" i="10"/>
  <c r="O23" i="10"/>
  <c r="Q94" i="10"/>
  <c r="T94" i="10" s="1"/>
  <c r="T96" i="10"/>
  <c r="R24" i="10"/>
  <c r="U24" i="10" s="1"/>
  <c r="U26" i="10"/>
  <c r="O59" i="10"/>
  <c r="I231" i="10"/>
  <c r="K242" i="10"/>
  <c r="U72" i="10"/>
  <c r="O358" i="10"/>
  <c r="U120" i="10"/>
  <c r="J456" i="10"/>
  <c r="K456" i="10" s="1"/>
  <c r="K457" i="10"/>
  <c r="O284" i="10"/>
  <c r="L356" i="10"/>
  <c r="L413" i="10"/>
  <c r="O413" i="10" s="1"/>
  <c r="M493" i="10"/>
  <c r="P493" i="10" s="1"/>
  <c r="T618" i="9"/>
  <c r="L555" i="10"/>
  <c r="O555" i="10" s="1"/>
  <c r="O557" i="10"/>
  <c r="N21" i="10"/>
  <c r="P21" i="10" s="1"/>
  <c r="N20" i="10"/>
  <c r="N18" i="10" s="1"/>
  <c r="Q493" i="8"/>
  <c r="T493" i="8" s="1"/>
  <c r="L513" i="9"/>
  <c r="O513" i="9" s="1"/>
  <c r="O188" i="9"/>
  <c r="R21" i="10"/>
  <c r="R20" i="10"/>
  <c r="U23" i="10"/>
  <c r="T19" i="10"/>
  <c r="U269" i="10"/>
  <c r="P141" i="10"/>
  <c r="M139" i="10"/>
  <c r="P139" i="10" s="1"/>
  <c r="T601" i="10"/>
  <c r="Q599" i="10"/>
  <c r="T599" i="10" s="1"/>
  <c r="O268" i="10"/>
  <c r="L266" i="10"/>
  <c r="O266" i="10" s="1"/>
  <c r="P415" i="10"/>
  <c r="M413" i="10"/>
  <c r="P413" i="10" s="1"/>
  <c r="L576" i="10"/>
  <c r="O576" i="10" s="1"/>
  <c r="O578" i="10"/>
  <c r="U26" i="7"/>
  <c r="U176" i="7"/>
  <c r="U119" i="8"/>
  <c r="Q20" i="10"/>
  <c r="T23" i="10"/>
  <c r="Q21" i="10"/>
  <c r="M44" i="10"/>
  <c r="P46" i="10"/>
  <c r="P23" i="10"/>
  <c r="M20" i="10"/>
  <c r="P19" i="10"/>
  <c r="L24" i="10"/>
  <c r="O24" i="10" s="1"/>
  <c r="O26" i="10"/>
  <c r="P26" i="10"/>
  <c r="R157" i="10"/>
  <c r="U157" i="10" s="1"/>
  <c r="U159" i="10"/>
  <c r="I71" i="10"/>
  <c r="K71" i="10" s="1"/>
  <c r="K83" i="10"/>
  <c r="T26" i="10"/>
  <c r="Q24" i="10"/>
  <c r="T24" i="10" s="1"/>
  <c r="M534" i="10"/>
  <c r="P534" i="10" s="1"/>
  <c r="N540" i="1"/>
  <c r="O46" i="6"/>
  <c r="T601" i="7"/>
  <c r="U693" i="7"/>
  <c r="O306" i="8"/>
  <c r="M320" i="9"/>
  <c r="P320" i="9" s="1"/>
  <c r="O358" i="9"/>
  <c r="M513" i="9"/>
  <c r="P513" i="9" s="1"/>
  <c r="R392" i="9"/>
  <c r="U392" i="9" s="1"/>
  <c r="R599" i="9"/>
  <c r="U599" i="9" s="1"/>
  <c r="O97" i="10"/>
  <c r="M59" i="10"/>
  <c r="P59" i="10" s="1"/>
  <c r="P61" i="10"/>
  <c r="S20" i="10"/>
  <c r="S18" i="10" s="1"/>
  <c r="S21" i="10"/>
  <c r="K82" i="10"/>
  <c r="I70" i="10"/>
  <c r="K70" i="10" s="1"/>
  <c r="U119" i="10"/>
  <c r="R117" i="10"/>
  <c r="U117" i="10" s="1"/>
  <c r="P336" i="10"/>
  <c r="T495" i="10"/>
  <c r="Q493" i="10"/>
  <c r="T493" i="10" s="1"/>
  <c r="R616" i="10"/>
  <c r="U616" i="10" s="1"/>
  <c r="U618" i="10"/>
  <c r="T731" i="10"/>
  <c r="L333" i="9"/>
  <c r="O333" i="9" s="1"/>
  <c r="R392" i="6"/>
  <c r="U392" i="6" s="1"/>
  <c r="T94" i="7"/>
  <c r="O61" i="8"/>
  <c r="P413" i="6"/>
  <c r="O139" i="7"/>
  <c r="O173" i="8"/>
  <c r="P159" i="9"/>
  <c r="O268" i="9"/>
  <c r="T188" i="9"/>
  <c r="S21" i="9"/>
  <c r="U21" i="9" s="1"/>
  <c r="O601" i="9"/>
  <c r="L599" i="9"/>
  <c r="O599" i="9" s="1"/>
  <c r="K83" i="8"/>
  <c r="M117" i="9"/>
  <c r="P117" i="9" s="1"/>
  <c r="U268" i="9"/>
  <c r="M333" i="9"/>
  <c r="P333" i="9" s="1"/>
  <c r="U378" i="9"/>
  <c r="T175" i="9"/>
  <c r="Q173" i="9"/>
  <c r="T173" i="9" s="1"/>
  <c r="N303" i="8"/>
  <c r="O303" i="8" s="1"/>
  <c r="L356" i="8"/>
  <c r="O356" i="8" s="1"/>
  <c r="T619" i="8"/>
  <c r="O74" i="9"/>
  <c r="L72" i="9"/>
  <c r="O72" i="9" s="1"/>
  <c r="O305" i="9"/>
  <c r="L303" i="9"/>
  <c r="O303" i="9" s="1"/>
  <c r="P189" i="8"/>
  <c r="O336" i="9"/>
  <c r="T268" i="9"/>
  <c r="P186" i="9"/>
  <c r="O46" i="8"/>
  <c r="S760" i="9"/>
  <c r="R72" i="9"/>
  <c r="U72" i="9" s="1"/>
  <c r="U269" i="7"/>
  <c r="O335" i="7"/>
  <c r="N20" i="8"/>
  <c r="N18" i="8" s="1"/>
  <c r="P26" i="8"/>
  <c r="R616" i="8"/>
  <c r="U616" i="8" s="1"/>
  <c r="P536" i="8"/>
  <c r="R20" i="9"/>
  <c r="U23" i="9"/>
  <c r="L59" i="9"/>
  <c r="O59" i="9" s="1"/>
  <c r="O61" i="9"/>
  <c r="K82" i="9"/>
  <c r="I70" i="9"/>
  <c r="K70" i="9" s="1"/>
  <c r="M173" i="9"/>
  <c r="P173" i="9" s="1"/>
  <c r="O141" i="9"/>
  <c r="L139" i="9"/>
  <c r="O139" i="9" s="1"/>
  <c r="M555" i="9"/>
  <c r="P555" i="9" s="1"/>
  <c r="P557" i="9"/>
  <c r="P358" i="9"/>
  <c r="M356" i="9"/>
  <c r="P356" i="9" s="1"/>
  <c r="O415" i="9"/>
  <c r="L413" i="9"/>
  <c r="O413" i="9" s="1"/>
  <c r="T619" i="7"/>
  <c r="O59" i="8"/>
  <c r="K701" i="8"/>
  <c r="O159" i="8"/>
  <c r="P601" i="8"/>
  <c r="U730" i="8"/>
  <c r="U74" i="8"/>
  <c r="P23" i="9"/>
  <c r="M20" i="9"/>
  <c r="R173" i="9"/>
  <c r="U173" i="9" s="1"/>
  <c r="M59" i="9"/>
  <c r="P59" i="9" s="1"/>
  <c r="Q157" i="9"/>
  <c r="T157" i="9" s="1"/>
  <c r="T159" i="9"/>
  <c r="Q24" i="9"/>
  <c r="T24" i="9" s="1"/>
  <c r="T26" i="9"/>
  <c r="P97" i="9"/>
  <c r="U693" i="9"/>
  <c r="P62" i="8"/>
  <c r="U415" i="9"/>
  <c r="R413" i="9"/>
  <c r="U413" i="9" s="1"/>
  <c r="Q73" i="1"/>
  <c r="T73" i="1" s="1"/>
  <c r="L232" i="1"/>
  <c r="O266" i="4"/>
  <c r="U618" i="5"/>
  <c r="T644" i="5"/>
  <c r="O599" i="7"/>
  <c r="O26" i="8"/>
  <c r="T303" i="8"/>
  <c r="T188" i="8"/>
  <c r="T119" i="8"/>
  <c r="P46" i="8"/>
  <c r="L44" i="9"/>
  <c r="O46" i="9"/>
  <c r="U266" i="9"/>
  <c r="L534" i="9"/>
  <c r="O534" i="9" s="1"/>
  <c r="P268" i="9"/>
  <c r="T601" i="9"/>
  <c r="Q599" i="9"/>
  <c r="T599" i="9" s="1"/>
  <c r="L24" i="9"/>
  <c r="O24" i="9" s="1"/>
  <c r="T119" i="9"/>
  <c r="Q117" i="9"/>
  <c r="T117" i="9" s="1"/>
  <c r="N21" i="9"/>
  <c r="O21" i="9" s="1"/>
  <c r="N20" i="9"/>
  <c r="N18" i="9" s="1"/>
  <c r="L232" i="8"/>
  <c r="L493" i="8"/>
  <c r="O493" i="8" s="1"/>
  <c r="P557" i="8"/>
  <c r="U72" i="8"/>
  <c r="P141" i="8"/>
  <c r="M21" i="9"/>
  <c r="L320" i="9"/>
  <c r="O320" i="9" s="1"/>
  <c r="O266" i="9"/>
  <c r="I185" i="9"/>
  <c r="K185" i="9" s="1"/>
  <c r="U19" i="9"/>
  <c r="L356" i="9"/>
  <c r="O356" i="9" s="1"/>
  <c r="O186" i="9"/>
  <c r="M72" i="9"/>
  <c r="P72" i="9" s="1"/>
  <c r="R728" i="9"/>
  <c r="U728" i="9" s="1"/>
  <c r="U730" i="9"/>
  <c r="L20" i="9"/>
  <c r="O23" i="9"/>
  <c r="P268" i="7"/>
  <c r="L94" i="8"/>
  <c r="O94" i="8" s="1"/>
  <c r="U378" i="8"/>
  <c r="O415" i="8"/>
  <c r="P416" i="8"/>
  <c r="Q392" i="8"/>
  <c r="T392" i="8" s="1"/>
  <c r="T378" i="8"/>
  <c r="O576" i="8"/>
  <c r="U145" i="8"/>
  <c r="Q20" i="9"/>
  <c r="T23" i="9"/>
  <c r="Q21" i="9"/>
  <c r="Q94" i="9"/>
  <c r="T94" i="9" s="1"/>
  <c r="I71" i="9"/>
  <c r="K71" i="9" s="1"/>
  <c r="K83" i="9"/>
  <c r="M139" i="9"/>
  <c r="P139" i="9" s="1"/>
  <c r="R117" i="9"/>
  <c r="U117" i="9" s="1"/>
  <c r="O175" i="9"/>
  <c r="T266" i="9"/>
  <c r="P26" i="9"/>
  <c r="L157" i="9"/>
  <c r="O157" i="9" s="1"/>
  <c r="S186" i="9"/>
  <c r="U186" i="9" s="1"/>
  <c r="M266" i="9"/>
  <c r="P266" i="9" s="1"/>
  <c r="L282" i="9"/>
  <c r="M44" i="9"/>
  <c r="L232" i="9"/>
  <c r="O243" i="9"/>
  <c r="O416" i="9"/>
  <c r="P415" i="9"/>
  <c r="O557" i="9"/>
  <c r="L555" i="9"/>
  <c r="O555" i="9" s="1"/>
  <c r="M576" i="9"/>
  <c r="P576" i="9" s="1"/>
  <c r="U24" i="8"/>
  <c r="P72" i="8"/>
  <c r="T762" i="8"/>
  <c r="Q760" i="8"/>
  <c r="T760" i="8" s="1"/>
  <c r="T416" i="5"/>
  <c r="U415" i="6"/>
  <c r="O578" i="6"/>
  <c r="T616" i="7"/>
  <c r="Q493" i="7"/>
  <c r="T493" i="7" s="1"/>
  <c r="R616" i="7"/>
  <c r="U616" i="7" s="1"/>
  <c r="O189" i="7"/>
  <c r="U188" i="7"/>
  <c r="P188" i="7"/>
  <c r="P305" i="8"/>
  <c r="T74" i="8"/>
  <c r="L320" i="8"/>
  <c r="O320" i="8" s="1"/>
  <c r="O579" i="8"/>
  <c r="M356" i="8"/>
  <c r="P356" i="8" s="1"/>
  <c r="T730" i="8"/>
  <c r="K412" i="8"/>
  <c r="R599" i="8"/>
  <c r="U599" i="8" s="1"/>
  <c r="M493" i="8"/>
  <c r="P493" i="8" s="1"/>
  <c r="U642" i="8"/>
  <c r="T763" i="8"/>
  <c r="P74" i="8"/>
  <c r="U120" i="5"/>
  <c r="O94" i="4"/>
  <c r="K374" i="5"/>
  <c r="U377" i="7"/>
  <c r="T139" i="8"/>
  <c r="T243" i="8"/>
  <c r="L413" i="8"/>
  <c r="O413" i="8" s="1"/>
  <c r="L599" i="8"/>
  <c r="O599" i="8" s="1"/>
  <c r="U644" i="8"/>
  <c r="M375" i="8"/>
  <c r="P375" i="8" s="1"/>
  <c r="P377" i="8"/>
  <c r="T693" i="8"/>
  <c r="P555" i="8"/>
  <c r="O141" i="5"/>
  <c r="R728" i="8"/>
  <c r="U728" i="8" s="1"/>
  <c r="T693" i="5"/>
  <c r="P141" i="7"/>
  <c r="O26" i="7"/>
  <c r="Q266" i="7"/>
  <c r="T266" i="7" s="1"/>
  <c r="P335" i="7"/>
  <c r="P557" i="7"/>
  <c r="M59" i="8"/>
  <c r="P59" i="8" s="1"/>
  <c r="T141" i="8"/>
  <c r="P323" i="8"/>
  <c r="R413" i="8"/>
  <c r="U413" i="8" s="1"/>
  <c r="T644" i="8"/>
  <c r="O578" i="8"/>
  <c r="K457" i="8"/>
  <c r="J456" i="8"/>
  <c r="K456" i="8" s="1"/>
  <c r="U141" i="8"/>
  <c r="N186" i="8"/>
  <c r="O186" i="8" s="1"/>
  <c r="S174" i="1"/>
  <c r="P322" i="5"/>
  <c r="U139" i="8"/>
  <c r="N78" i="1"/>
  <c r="T97" i="6"/>
  <c r="R690" i="6"/>
  <c r="U690" i="6" s="1"/>
  <c r="P336" i="7"/>
  <c r="T189" i="7"/>
  <c r="O142" i="8"/>
  <c r="O141" i="8"/>
  <c r="S690" i="8"/>
  <c r="T690" i="8" s="1"/>
  <c r="M513" i="7"/>
  <c r="P513" i="7" s="1"/>
  <c r="K749" i="1"/>
  <c r="K701" i="4"/>
  <c r="O284" i="5"/>
  <c r="O72" i="6"/>
  <c r="O139" i="6"/>
  <c r="O266" i="6"/>
  <c r="P173" i="5"/>
  <c r="U642" i="6"/>
  <c r="T644" i="6"/>
  <c r="O119" i="7"/>
  <c r="Q690" i="7"/>
  <c r="T690" i="7" s="1"/>
  <c r="T269" i="7"/>
  <c r="O557" i="7"/>
  <c r="U305" i="8"/>
  <c r="T305" i="8"/>
  <c r="M94" i="8"/>
  <c r="P94" i="8" s="1"/>
  <c r="O284" i="8"/>
  <c r="K82" i="8"/>
  <c r="I70" i="8"/>
  <c r="K70" i="8" s="1"/>
  <c r="P44" i="8"/>
  <c r="P160" i="8"/>
  <c r="R493" i="8"/>
  <c r="U493" i="8" s="1"/>
  <c r="M576" i="8"/>
  <c r="P576" i="8" s="1"/>
  <c r="P578" i="8"/>
  <c r="K701" i="7"/>
  <c r="Q266" i="8"/>
  <c r="T266" i="8" s="1"/>
  <c r="L203" i="1"/>
  <c r="O284" i="4"/>
  <c r="O96" i="7"/>
  <c r="U303" i="7"/>
  <c r="O356" i="7"/>
  <c r="P160" i="7"/>
  <c r="P536" i="7"/>
  <c r="U305" i="7"/>
  <c r="Q20" i="8"/>
  <c r="T23" i="8"/>
  <c r="Q21" i="8"/>
  <c r="N21" i="8"/>
  <c r="O21" i="8" s="1"/>
  <c r="O157" i="8"/>
  <c r="P157" i="8"/>
  <c r="S186" i="8"/>
  <c r="S117" i="8"/>
  <c r="T117" i="8" s="1"/>
  <c r="K242" i="8"/>
  <c r="I231" i="8"/>
  <c r="M303" i="8"/>
  <c r="L24" i="8"/>
  <c r="O24" i="8" s="1"/>
  <c r="P322" i="8"/>
  <c r="M320" i="8"/>
  <c r="P320" i="8" s="1"/>
  <c r="P306" i="8"/>
  <c r="L282" i="8"/>
  <c r="O282" i="8" s="1"/>
  <c r="M333" i="8"/>
  <c r="P333" i="8" s="1"/>
  <c r="M173" i="8"/>
  <c r="P173" i="8" s="1"/>
  <c r="U19" i="8"/>
  <c r="L214" i="1"/>
  <c r="L320" i="4"/>
  <c r="O320" i="4" s="1"/>
  <c r="K374" i="4"/>
  <c r="P47" i="6"/>
  <c r="T117" i="6"/>
  <c r="U96" i="7"/>
  <c r="O141" i="7"/>
  <c r="L94" i="7"/>
  <c r="O94" i="7" s="1"/>
  <c r="T119" i="6"/>
  <c r="P415" i="7"/>
  <c r="L20" i="8"/>
  <c r="O23" i="8"/>
  <c r="P23" i="8"/>
  <c r="M20" i="8"/>
  <c r="M18" i="8" s="1"/>
  <c r="O44" i="8"/>
  <c r="P284" i="8"/>
  <c r="M282" i="8"/>
  <c r="P282" i="8" s="1"/>
  <c r="M24" i="8"/>
  <c r="P24" i="8" s="1"/>
  <c r="U268" i="8"/>
  <c r="R266" i="8"/>
  <c r="U266" i="8" s="1"/>
  <c r="Q413" i="8"/>
  <c r="T413" i="8" s="1"/>
  <c r="T26" i="8"/>
  <c r="Q24" i="8"/>
  <c r="T24" i="8" s="1"/>
  <c r="R377" i="1"/>
  <c r="P359" i="5"/>
  <c r="T618" i="5"/>
  <c r="U173" i="6"/>
  <c r="U618" i="6"/>
  <c r="T141" i="7"/>
  <c r="P61" i="7"/>
  <c r="O536" i="7"/>
  <c r="R20" i="8"/>
  <c r="U23" i="8"/>
  <c r="P19" i="8"/>
  <c r="S21" i="8"/>
  <c r="U21" i="8" s="1"/>
  <c r="O139" i="8"/>
  <c r="O268" i="8"/>
  <c r="L266" i="8"/>
  <c r="O266" i="8" s="1"/>
  <c r="P139" i="8"/>
  <c r="M186" i="8"/>
  <c r="P268" i="8"/>
  <c r="M266" i="8"/>
  <c r="P266" i="8" s="1"/>
  <c r="P359" i="8"/>
  <c r="R690" i="8"/>
  <c r="U692" i="8"/>
  <c r="P555" i="7"/>
  <c r="U99" i="1"/>
  <c r="P336" i="4"/>
  <c r="L72" i="5"/>
  <c r="O72" i="5" s="1"/>
  <c r="M117" i="5"/>
  <c r="P117" i="5" s="1"/>
  <c r="O175" i="5"/>
  <c r="L375" i="5"/>
  <c r="O375" i="5" s="1"/>
  <c r="T618" i="6"/>
  <c r="O97" i="7"/>
  <c r="P26" i="7"/>
  <c r="P142" i="7"/>
  <c r="M186" i="7"/>
  <c r="P186" i="7" s="1"/>
  <c r="Q392" i="7"/>
  <c r="T392" i="7" s="1"/>
  <c r="R599" i="7"/>
  <c r="U599" i="7" s="1"/>
  <c r="L513" i="7"/>
  <c r="O513" i="7" s="1"/>
  <c r="O142" i="7"/>
  <c r="O19" i="8"/>
  <c r="T72" i="8"/>
  <c r="U26" i="8"/>
  <c r="U303" i="8"/>
  <c r="P159" i="8"/>
  <c r="O557" i="8"/>
  <c r="L555" i="8"/>
  <c r="O555" i="8" s="1"/>
  <c r="T305" i="7"/>
  <c r="P415" i="8"/>
  <c r="M413" i="8"/>
  <c r="P413" i="8" s="1"/>
  <c r="Q616" i="8"/>
  <c r="T616" i="8" s="1"/>
  <c r="L375" i="8"/>
  <c r="O375" i="8" s="1"/>
  <c r="O377" i="8"/>
  <c r="Q728" i="8"/>
  <c r="T728" i="8" s="1"/>
  <c r="Q642" i="8"/>
  <c r="T642" i="8" s="1"/>
  <c r="P46" i="4"/>
  <c r="P284" i="4"/>
  <c r="P141" i="5"/>
  <c r="P186" i="5"/>
  <c r="R599" i="5"/>
  <c r="U599" i="5" s="1"/>
  <c r="U692" i="5"/>
  <c r="T173" i="6"/>
  <c r="U266" i="6"/>
  <c r="T175" i="6"/>
  <c r="R493" i="6"/>
  <c r="U493" i="6" s="1"/>
  <c r="Q690" i="6"/>
  <c r="T690" i="6" s="1"/>
  <c r="U644" i="6"/>
  <c r="P119" i="6"/>
  <c r="U375" i="6"/>
  <c r="O74" i="7"/>
  <c r="U74" i="7"/>
  <c r="S24" i="7"/>
  <c r="U24" i="7" s="1"/>
  <c r="T74" i="7"/>
  <c r="N72" i="7"/>
  <c r="O72" i="7" s="1"/>
  <c r="K83" i="7"/>
  <c r="U186" i="7"/>
  <c r="S375" i="7"/>
  <c r="U375" i="7" s="1"/>
  <c r="K374" i="6"/>
  <c r="M266" i="7"/>
  <c r="P266" i="7" s="1"/>
  <c r="M493" i="7"/>
  <c r="P493" i="7" s="1"/>
  <c r="T618" i="7"/>
  <c r="T762" i="7"/>
  <c r="Q186" i="7"/>
  <c r="T186" i="7" s="1"/>
  <c r="R117" i="7"/>
  <c r="U117" i="7" s="1"/>
  <c r="U119" i="7"/>
  <c r="P189" i="7"/>
  <c r="R642" i="4"/>
  <c r="U642" i="4" s="1"/>
  <c r="O536" i="6"/>
  <c r="K701" i="6"/>
  <c r="T72" i="7"/>
  <c r="O175" i="7"/>
  <c r="I231" i="7"/>
  <c r="I185" i="7" s="1"/>
  <c r="K185" i="7" s="1"/>
  <c r="L493" i="4"/>
  <c r="O493" i="4" s="1"/>
  <c r="T120" i="5"/>
  <c r="T269" i="6"/>
  <c r="U188" i="6"/>
  <c r="L555" i="7"/>
  <c r="O555" i="7" s="1"/>
  <c r="O188" i="7"/>
  <c r="L186" i="7"/>
  <c r="O186" i="7" s="1"/>
  <c r="P175" i="7"/>
  <c r="O61" i="7"/>
  <c r="N20" i="4"/>
  <c r="N18" i="4" s="1"/>
  <c r="M72" i="5"/>
  <c r="P72" i="5" s="1"/>
  <c r="P61" i="5"/>
  <c r="M375" i="5"/>
  <c r="P375" i="5" s="1"/>
  <c r="U21" i="6"/>
  <c r="U175" i="6"/>
  <c r="O358" i="6"/>
  <c r="L555" i="6"/>
  <c r="O555" i="6" s="1"/>
  <c r="O336" i="6"/>
  <c r="U645" i="6"/>
  <c r="T75" i="6"/>
  <c r="L599" i="6"/>
  <c r="O599" i="6" s="1"/>
  <c r="S20" i="7"/>
  <c r="S18" i="7" s="1"/>
  <c r="T120" i="7"/>
  <c r="T96" i="7"/>
  <c r="L375" i="7"/>
  <c r="O375" i="7" s="1"/>
  <c r="M320" i="7"/>
  <c r="P320" i="7" s="1"/>
  <c r="M375" i="7"/>
  <c r="P375" i="7" s="1"/>
  <c r="O416" i="7"/>
  <c r="P157" i="7"/>
  <c r="P159" i="7"/>
  <c r="P157" i="5"/>
  <c r="M139" i="7"/>
  <c r="P139" i="7" s="1"/>
  <c r="U266" i="7"/>
  <c r="P173" i="7"/>
  <c r="L333" i="7"/>
  <c r="O333" i="7" s="1"/>
  <c r="M534" i="7"/>
  <c r="P534" i="7" s="1"/>
  <c r="T731" i="7"/>
  <c r="T306" i="7"/>
  <c r="M413" i="7"/>
  <c r="P413" i="7" s="1"/>
  <c r="L513" i="6"/>
  <c r="O513" i="6" s="1"/>
  <c r="K82" i="7"/>
  <c r="I70" i="7"/>
  <c r="K70" i="7" s="1"/>
  <c r="P59" i="7"/>
  <c r="R157" i="7"/>
  <c r="U157" i="7" s="1"/>
  <c r="U159" i="7"/>
  <c r="O375" i="4"/>
  <c r="R690" i="4"/>
  <c r="U690" i="4" s="1"/>
  <c r="O176" i="5"/>
  <c r="O46" i="5"/>
  <c r="M24" i="6"/>
  <c r="P24" i="6" s="1"/>
  <c r="T94" i="6"/>
  <c r="Q303" i="6"/>
  <c r="T303" i="6" s="1"/>
  <c r="T189" i="6"/>
  <c r="M493" i="6"/>
  <c r="P493" i="6" s="1"/>
  <c r="O47" i="6"/>
  <c r="P46" i="5"/>
  <c r="Q139" i="7"/>
  <c r="T139" i="7" s="1"/>
  <c r="L20" i="7"/>
  <c r="O23" i="7"/>
  <c r="R94" i="7"/>
  <c r="U94" i="7" s="1"/>
  <c r="T75" i="7"/>
  <c r="T159" i="7"/>
  <c r="Q157" i="7"/>
  <c r="T157" i="7" s="1"/>
  <c r="O46" i="7"/>
  <c r="L44" i="7"/>
  <c r="L157" i="7"/>
  <c r="O157" i="7" s="1"/>
  <c r="O159" i="7"/>
  <c r="L413" i="7"/>
  <c r="O413" i="7" s="1"/>
  <c r="O415" i="7"/>
  <c r="I412" i="7"/>
  <c r="K412" i="7" s="1"/>
  <c r="K423" i="7"/>
  <c r="S760" i="7"/>
  <c r="T760" i="7" s="1"/>
  <c r="P96" i="7"/>
  <c r="M94" i="7"/>
  <c r="P94" i="7" s="1"/>
  <c r="O284" i="7"/>
  <c r="L282" i="7"/>
  <c r="O282" i="7" s="1"/>
  <c r="P599" i="7"/>
  <c r="N416" i="1"/>
  <c r="U760" i="6"/>
  <c r="O266" i="7"/>
  <c r="U375" i="5"/>
  <c r="P578" i="5"/>
  <c r="P579" i="5"/>
  <c r="O61" i="6"/>
  <c r="M513" i="6"/>
  <c r="P513" i="6" s="1"/>
  <c r="M320" i="6"/>
  <c r="P320" i="6" s="1"/>
  <c r="U189" i="6"/>
  <c r="U269" i="6"/>
  <c r="S186" i="6"/>
  <c r="U186" i="6" s="1"/>
  <c r="T731" i="6"/>
  <c r="R20" i="7"/>
  <c r="U23" i="7"/>
  <c r="S21" i="7"/>
  <c r="U21" i="7" s="1"/>
  <c r="P74" i="7"/>
  <c r="U141" i="7"/>
  <c r="R139" i="7"/>
  <c r="U139" i="7" s="1"/>
  <c r="P23" i="7"/>
  <c r="M20" i="7"/>
  <c r="U72" i="7"/>
  <c r="T26" i="7"/>
  <c r="Q24" i="7"/>
  <c r="O358" i="7"/>
  <c r="P358" i="7"/>
  <c r="M356" i="7"/>
  <c r="P356" i="7" s="1"/>
  <c r="M282" i="7"/>
  <c r="P282" i="7" s="1"/>
  <c r="P284" i="7"/>
  <c r="L232" i="7"/>
  <c r="O243" i="7"/>
  <c r="R413" i="7"/>
  <c r="U413" i="7" s="1"/>
  <c r="U415" i="7"/>
  <c r="P576" i="7"/>
  <c r="T119" i="7"/>
  <c r="Q117" i="7"/>
  <c r="T117" i="7" s="1"/>
  <c r="P601" i="7"/>
  <c r="O601" i="7"/>
  <c r="R599" i="4"/>
  <c r="U599" i="4" s="1"/>
  <c r="P188" i="4"/>
  <c r="O268" i="5"/>
  <c r="N21" i="7"/>
  <c r="O21" i="7" s="1"/>
  <c r="N20" i="7"/>
  <c r="N18" i="7" s="1"/>
  <c r="U173" i="7"/>
  <c r="L173" i="7"/>
  <c r="O173" i="7" s="1"/>
  <c r="T173" i="7"/>
  <c r="P285" i="7"/>
  <c r="M333" i="7"/>
  <c r="P333" i="7" s="1"/>
  <c r="Q642" i="7"/>
  <c r="T642" i="7" s="1"/>
  <c r="U762" i="7"/>
  <c r="R760" i="7"/>
  <c r="T415" i="7"/>
  <c r="Q413" i="7"/>
  <c r="T413" i="7" s="1"/>
  <c r="Q20" i="7"/>
  <c r="T23" i="7"/>
  <c r="Q21" i="7"/>
  <c r="P46" i="7"/>
  <c r="K507" i="1"/>
  <c r="O377" i="4"/>
  <c r="P189" i="5"/>
  <c r="U141" i="5"/>
  <c r="T141" i="4"/>
  <c r="K701" i="5"/>
  <c r="L232" i="6"/>
  <c r="P61" i="6"/>
  <c r="L24" i="7"/>
  <c r="O24" i="7" s="1"/>
  <c r="M24" i="7"/>
  <c r="P24" i="7" s="1"/>
  <c r="M44" i="7"/>
  <c r="L320" i="7"/>
  <c r="O320" i="7" s="1"/>
  <c r="O578" i="7"/>
  <c r="L576" i="7"/>
  <c r="O576" i="7" s="1"/>
  <c r="P578" i="7"/>
  <c r="S232" i="1"/>
  <c r="S214" i="1"/>
  <c r="P94" i="4"/>
  <c r="L44" i="5"/>
  <c r="O44" i="5" s="1"/>
  <c r="U119" i="5"/>
  <c r="U142" i="5"/>
  <c r="L493" i="5"/>
  <c r="O493" i="5" s="1"/>
  <c r="O415" i="5"/>
  <c r="U416" i="5"/>
  <c r="M59" i="6"/>
  <c r="P59" i="6" s="1"/>
  <c r="T74" i="6"/>
  <c r="O141" i="6"/>
  <c r="R616" i="6"/>
  <c r="U616" i="6" s="1"/>
  <c r="U693" i="6"/>
  <c r="P305" i="5"/>
  <c r="U139" i="6"/>
  <c r="L234" i="2"/>
  <c r="T120" i="6"/>
  <c r="R157" i="4"/>
  <c r="U157" i="4" s="1"/>
  <c r="L282" i="5"/>
  <c r="O282" i="5" s="1"/>
  <c r="P285" i="5"/>
  <c r="O176" i="6"/>
  <c r="P415" i="6"/>
  <c r="I231" i="6"/>
  <c r="K231" i="6" s="1"/>
  <c r="Q642" i="6"/>
  <c r="T642" i="6" s="1"/>
  <c r="O157" i="6"/>
  <c r="L186" i="6"/>
  <c r="O186" i="6" s="1"/>
  <c r="O188" i="6"/>
  <c r="U74" i="6"/>
  <c r="U601" i="6"/>
  <c r="R599" i="6"/>
  <c r="U599" i="6" s="1"/>
  <c r="P141" i="6"/>
  <c r="M139" i="6"/>
  <c r="P139" i="6" s="1"/>
  <c r="Q173" i="4"/>
  <c r="T173" i="4" s="1"/>
  <c r="O415" i="4"/>
  <c r="M44" i="5"/>
  <c r="P44" i="5" s="1"/>
  <c r="T142" i="5"/>
  <c r="Q375" i="5"/>
  <c r="T375" i="5" s="1"/>
  <c r="O159" i="5"/>
  <c r="P601" i="5"/>
  <c r="U306" i="5"/>
  <c r="P176" i="5"/>
  <c r="O599" i="5"/>
  <c r="P415" i="5"/>
  <c r="N20" i="6"/>
  <c r="N18" i="6" s="1"/>
  <c r="T139" i="6"/>
  <c r="P358" i="6"/>
  <c r="Q760" i="5"/>
  <c r="T760" i="5" s="1"/>
  <c r="P358" i="5"/>
  <c r="O159" i="6"/>
  <c r="M186" i="6"/>
  <c r="P186" i="6" s="1"/>
  <c r="P188" i="6"/>
  <c r="M599" i="6"/>
  <c r="P599" i="6" s="1"/>
  <c r="T97" i="4"/>
  <c r="O188" i="5"/>
  <c r="P96" i="6"/>
  <c r="O305" i="6"/>
  <c r="L320" i="6"/>
  <c r="O320" i="6" s="1"/>
  <c r="O322" i="6"/>
  <c r="T141" i="6"/>
  <c r="U141" i="6"/>
  <c r="M578" i="3"/>
  <c r="P578" i="3" s="1"/>
  <c r="P413" i="5"/>
  <c r="L20" i="6"/>
  <c r="O23" i="6"/>
  <c r="L21" i="6"/>
  <c r="M333" i="6"/>
  <c r="P333" i="6" s="1"/>
  <c r="P335" i="6"/>
  <c r="U19" i="6"/>
  <c r="O175" i="6"/>
  <c r="L173" i="6"/>
  <c r="O173" i="6" s="1"/>
  <c r="U176" i="4"/>
  <c r="R20" i="6"/>
  <c r="R18" i="6" s="1"/>
  <c r="U23" i="6"/>
  <c r="Q157" i="6"/>
  <c r="T157" i="6" s="1"/>
  <c r="U159" i="6"/>
  <c r="R157" i="6"/>
  <c r="U157" i="6" s="1"/>
  <c r="P305" i="6"/>
  <c r="M303" i="6"/>
  <c r="P303" i="6" s="1"/>
  <c r="O495" i="6"/>
  <c r="L493" i="6"/>
  <c r="O493" i="6" s="1"/>
  <c r="T377" i="6"/>
  <c r="Q616" i="6"/>
  <c r="T616" i="6" s="1"/>
  <c r="O377" i="6"/>
  <c r="L375" i="6"/>
  <c r="O375" i="6" s="1"/>
  <c r="M186" i="4"/>
  <c r="P186" i="4" s="1"/>
  <c r="U375" i="4"/>
  <c r="P333" i="4"/>
  <c r="Q642" i="4"/>
  <c r="T642" i="4" s="1"/>
  <c r="P159" i="5"/>
  <c r="M303" i="5"/>
  <c r="P303" i="5" s="1"/>
  <c r="Q616" i="5"/>
  <c r="T616" i="5" s="1"/>
  <c r="T26" i="6"/>
  <c r="Q24" i="6"/>
  <c r="T24" i="6" s="1"/>
  <c r="P159" i="6"/>
  <c r="M157" i="6"/>
  <c r="P157" i="6" s="1"/>
  <c r="U377" i="6"/>
  <c r="M356" i="6"/>
  <c r="P356" i="6" s="1"/>
  <c r="P266" i="6"/>
  <c r="T72" i="6"/>
  <c r="R24" i="6"/>
  <c r="U24" i="6" s="1"/>
  <c r="M94" i="6"/>
  <c r="P94" i="6" s="1"/>
  <c r="T188" i="6"/>
  <c r="Q186" i="6"/>
  <c r="O335" i="6"/>
  <c r="L333" i="6"/>
  <c r="O333" i="6" s="1"/>
  <c r="T601" i="6"/>
  <c r="Q599" i="6"/>
  <c r="T599" i="6" s="1"/>
  <c r="M534" i="6"/>
  <c r="P534" i="6" s="1"/>
  <c r="S145" i="1"/>
  <c r="L357" i="1"/>
  <c r="O176" i="4"/>
  <c r="L282" i="4"/>
  <c r="O282" i="4" s="1"/>
  <c r="R493" i="4"/>
  <c r="U493" i="4" s="1"/>
  <c r="T119" i="5"/>
  <c r="U266" i="5"/>
  <c r="M555" i="5"/>
  <c r="P555" i="5" s="1"/>
  <c r="O160" i="5"/>
  <c r="U378" i="5"/>
  <c r="T268" i="5"/>
  <c r="L24" i="6"/>
  <c r="O24" i="6" s="1"/>
  <c r="U97" i="6"/>
  <c r="S20" i="6"/>
  <c r="S18" i="6" s="1"/>
  <c r="P46" i="6"/>
  <c r="U94" i="6"/>
  <c r="N44" i="6"/>
  <c r="P44" i="6" s="1"/>
  <c r="T375" i="6"/>
  <c r="I71" i="6"/>
  <c r="K71" i="6" s="1"/>
  <c r="K83" i="6"/>
  <c r="L282" i="6"/>
  <c r="O282" i="6" s="1"/>
  <c r="O284" i="6"/>
  <c r="P176" i="6"/>
  <c r="K82" i="6"/>
  <c r="I70" i="6"/>
  <c r="K70" i="6" s="1"/>
  <c r="T416" i="6"/>
  <c r="O96" i="6"/>
  <c r="M555" i="6"/>
  <c r="P555" i="6" s="1"/>
  <c r="S60" i="1"/>
  <c r="Q96" i="1"/>
  <c r="O77" i="3"/>
  <c r="P266" i="4"/>
  <c r="U693" i="4"/>
  <c r="P356" i="5"/>
  <c r="Q20" i="6"/>
  <c r="Q18" i="6" s="1"/>
  <c r="T23" i="6"/>
  <c r="Q21" i="6"/>
  <c r="T21" i="6" s="1"/>
  <c r="T19" i="6"/>
  <c r="P72" i="6"/>
  <c r="U119" i="6"/>
  <c r="R117" i="6"/>
  <c r="U117" i="6" s="1"/>
  <c r="U378" i="6"/>
  <c r="L303" i="6"/>
  <c r="O303" i="6" s="1"/>
  <c r="O119" i="6"/>
  <c r="L117" i="6"/>
  <c r="O117" i="6" s="1"/>
  <c r="O94" i="6"/>
  <c r="O415" i="6"/>
  <c r="L413" i="6"/>
  <c r="O413" i="6" s="1"/>
  <c r="O268" i="6"/>
  <c r="P268" i="6"/>
  <c r="T266" i="6"/>
  <c r="L59" i="6"/>
  <c r="L576" i="6"/>
  <c r="P578" i="6"/>
  <c r="N576" i="6"/>
  <c r="P576" i="6" s="1"/>
  <c r="U763" i="6"/>
  <c r="K116" i="1"/>
  <c r="J351" i="3"/>
  <c r="T303" i="5"/>
  <c r="O601" i="5"/>
  <c r="Q599" i="5"/>
  <c r="T599" i="5" s="1"/>
  <c r="N21" i="6"/>
  <c r="P21" i="6" s="1"/>
  <c r="P74" i="6"/>
  <c r="O74" i="6"/>
  <c r="P23" i="6"/>
  <c r="M20" i="6"/>
  <c r="U72" i="6"/>
  <c r="R303" i="6"/>
  <c r="U303" i="6" s="1"/>
  <c r="P175" i="6"/>
  <c r="M173" i="6"/>
  <c r="P173" i="6" s="1"/>
  <c r="P284" i="6"/>
  <c r="M282" i="6"/>
  <c r="P282" i="6" s="1"/>
  <c r="U730" i="6"/>
  <c r="R728" i="6"/>
  <c r="U728" i="6" s="1"/>
  <c r="L356" i="6"/>
  <c r="O356" i="6" s="1"/>
  <c r="M375" i="6"/>
  <c r="P375" i="6" s="1"/>
  <c r="P377" i="6"/>
  <c r="L266" i="5"/>
  <c r="O266" i="5" s="1"/>
  <c r="M362" i="2"/>
  <c r="P362" i="2" s="1"/>
  <c r="S731" i="3"/>
  <c r="U731" i="3" s="1"/>
  <c r="K276" i="3"/>
  <c r="U21" i="4"/>
  <c r="L157" i="4"/>
  <c r="O157" i="4" s="1"/>
  <c r="P358" i="4"/>
  <c r="T375" i="4"/>
  <c r="O46" i="4"/>
  <c r="U306" i="4"/>
  <c r="R186" i="5"/>
  <c r="U186" i="5" s="1"/>
  <c r="P175" i="5"/>
  <c r="O305" i="5"/>
  <c r="L320" i="5"/>
  <c r="O320" i="5" s="1"/>
  <c r="P336" i="5"/>
  <c r="O333" i="5"/>
  <c r="T730" i="5"/>
  <c r="Q266" i="5"/>
  <c r="T266" i="5" s="1"/>
  <c r="M534" i="5"/>
  <c r="P534" i="5" s="1"/>
  <c r="L413" i="5"/>
  <c r="O413" i="5" s="1"/>
  <c r="P268" i="5"/>
  <c r="P495" i="5"/>
  <c r="M493" i="5"/>
  <c r="P493" i="5" s="1"/>
  <c r="P96" i="5"/>
  <c r="M94" i="5"/>
  <c r="P94" i="5" s="1"/>
  <c r="O335" i="5"/>
  <c r="R268" i="1"/>
  <c r="U268" i="1" s="1"/>
  <c r="Q192" i="3"/>
  <c r="T192" i="3" s="1"/>
  <c r="P96" i="4"/>
  <c r="U760" i="4"/>
  <c r="U188" i="4"/>
  <c r="R24" i="5"/>
  <c r="U24" i="5" s="1"/>
  <c r="O61" i="5"/>
  <c r="R173" i="5"/>
  <c r="U173" i="5" s="1"/>
  <c r="U728" i="5"/>
  <c r="M513" i="5"/>
  <c r="P513" i="5" s="1"/>
  <c r="Q72" i="5"/>
  <c r="T72" i="5" s="1"/>
  <c r="R392" i="5"/>
  <c r="U392" i="5" s="1"/>
  <c r="M50" i="1"/>
  <c r="P50" i="1" s="1"/>
  <c r="N288" i="1"/>
  <c r="R642" i="5"/>
  <c r="U642" i="5" s="1"/>
  <c r="U644" i="5"/>
  <c r="P266" i="5"/>
  <c r="N158" i="1"/>
  <c r="T308" i="1"/>
  <c r="T74" i="4"/>
  <c r="O305" i="4"/>
  <c r="T306" i="5"/>
  <c r="P599" i="5"/>
  <c r="L555" i="5"/>
  <c r="O555" i="5" s="1"/>
  <c r="U693" i="5"/>
  <c r="P333" i="5"/>
  <c r="P188" i="5"/>
  <c r="R267" i="1"/>
  <c r="U267" i="1" s="1"/>
  <c r="S494" i="1"/>
  <c r="U618" i="4"/>
  <c r="L94" i="5"/>
  <c r="O94" i="5" s="1"/>
  <c r="U308" i="1"/>
  <c r="N21" i="4"/>
  <c r="O21" i="4" s="1"/>
  <c r="O26" i="4"/>
  <c r="O142" i="4"/>
  <c r="O141" i="4"/>
  <c r="R186" i="4"/>
  <c r="U186" i="4" s="1"/>
  <c r="P305" i="4"/>
  <c r="S616" i="4"/>
  <c r="U616" i="4" s="1"/>
  <c r="P62" i="5"/>
  <c r="U730" i="5"/>
  <c r="M282" i="5"/>
  <c r="P282" i="5" s="1"/>
  <c r="P284" i="5"/>
  <c r="P335" i="5"/>
  <c r="K368" i="3"/>
  <c r="N358" i="3"/>
  <c r="N356" i="3" s="1"/>
  <c r="O269" i="4"/>
  <c r="P285" i="4"/>
  <c r="P59" i="4"/>
  <c r="P23" i="5"/>
  <c r="M20" i="5"/>
  <c r="I70" i="5"/>
  <c r="K70" i="5" s="1"/>
  <c r="K82" i="5"/>
  <c r="L139" i="5"/>
  <c r="O139" i="5" s="1"/>
  <c r="Q157" i="5"/>
  <c r="T157" i="5" s="1"/>
  <c r="T159" i="5"/>
  <c r="R117" i="5"/>
  <c r="U117" i="5" s="1"/>
  <c r="I231" i="5"/>
  <c r="K242" i="5"/>
  <c r="I412" i="5"/>
  <c r="K412" i="5" s="1"/>
  <c r="K423" i="5"/>
  <c r="Q117" i="5"/>
  <c r="T117" i="5" s="1"/>
  <c r="P157" i="4"/>
  <c r="J374" i="1"/>
  <c r="S188" i="3"/>
  <c r="S186" i="3" s="1"/>
  <c r="P142" i="3"/>
  <c r="K109" i="3"/>
  <c r="N413" i="4"/>
  <c r="P413" i="4" s="1"/>
  <c r="O96" i="4"/>
  <c r="M576" i="4"/>
  <c r="P576" i="4" s="1"/>
  <c r="S728" i="4"/>
  <c r="U728" i="4" s="1"/>
  <c r="O139" i="4"/>
  <c r="T693" i="4"/>
  <c r="T19" i="5"/>
  <c r="N20" i="5"/>
  <c r="N18" i="5" s="1"/>
  <c r="N21" i="5"/>
  <c r="O21" i="5" s="1"/>
  <c r="R139" i="5"/>
  <c r="U139" i="5" s="1"/>
  <c r="N59" i="5"/>
  <c r="O59" i="5" s="1"/>
  <c r="Q94" i="5"/>
  <c r="T94" i="5" s="1"/>
  <c r="M139" i="5"/>
  <c r="P139" i="5" s="1"/>
  <c r="R94" i="5"/>
  <c r="U94" i="5" s="1"/>
  <c r="S20" i="5"/>
  <c r="S18" i="5" s="1"/>
  <c r="S21" i="5"/>
  <c r="S690" i="5"/>
  <c r="T305" i="5"/>
  <c r="U305" i="5"/>
  <c r="T692" i="5"/>
  <c r="O602" i="5"/>
  <c r="R20" i="5"/>
  <c r="R18" i="5" s="1"/>
  <c r="U23" i="5"/>
  <c r="J675" i="1"/>
  <c r="K675" i="1" s="1"/>
  <c r="S730" i="1"/>
  <c r="K755" i="1"/>
  <c r="Q496" i="3"/>
  <c r="T496" i="3" s="1"/>
  <c r="O142" i="3"/>
  <c r="O285" i="4"/>
  <c r="Q599" i="4"/>
  <c r="T599" i="4" s="1"/>
  <c r="P159" i="4"/>
  <c r="O335" i="4"/>
  <c r="O19" i="5"/>
  <c r="T23" i="5"/>
  <c r="Q20" i="5"/>
  <c r="Q21" i="5"/>
  <c r="O24" i="5"/>
  <c r="O119" i="5"/>
  <c r="L117" i="5"/>
  <c r="O117" i="5" s="1"/>
  <c r="L513" i="5"/>
  <c r="O513" i="5" s="1"/>
  <c r="M576" i="5"/>
  <c r="P576" i="5" s="1"/>
  <c r="T188" i="5"/>
  <c r="Q186" i="5"/>
  <c r="T186" i="5" s="1"/>
  <c r="Q728" i="5"/>
  <c r="T728" i="5" s="1"/>
  <c r="O303" i="5"/>
  <c r="N334" i="1"/>
  <c r="L558" i="3"/>
  <c r="O558" i="3" s="1"/>
  <c r="T498" i="3"/>
  <c r="O383" i="3"/>
  <c r="O287" i="3"/>
  <c r="Q157" i="4"/>
  <c r="T157" i="4" s="1"/>
  <c r="Q139" i="4"/>
  <c r="T139" i="4" s="1"/>
  <c r="P189" i="4"/>
  <c r="U19" i="5"/>
  <c r="K83" i="5"/>
  <c r="I71" i="5"/>
  <c r="K71" i="5" s="1"/>
  <c r="R21" i="5"/>
  <c r="P26" i="5"/>
  <c r="M24" i="5"/>
  <c r="P24" i="5" s="1"/>
  <c r="O157" i="5"/>
  <c r="L232" i="5"/>
  <c r="O243" i="5"/>
  <c r="O23" i="5"/>
  <c r="L20" i="5"/>
  <c r="L18" i="5" s="1"/>
  <c r="L576" i="5"/>
  <c r="O576" i="5" s="1"/>
  <c r="O578" i="5"/>
  <c r="U268" i="5"/>
  <c r="O536" i="5"/>
  <c r="L534" i="5"/>
  <c r="O534" i="5" s="1"/>
  <c r="R760" i="5"/>
  <c r="U760" i="5" s="1"/>
  <c r="L582" i="1"/>
  <c r="O582" i="1" s="1"/>
  <c r="K676" i="1"/>
  <c r="O311" i="2"/>
  <c r="O268" i="4"/>
  <c r="M534" i="4"/>
  <c r="P534" i="4" s="1"/>
  <c r="T96" i="4"/>
  <c r="O601" i="4"/>
  <c r="U645" i="4"/>
  <c r="P142" i="4"/>
  <c r="U763" i="4"/>
  <c r="O26" i="5"/>
  <c r="O62" i="5"/>
  <c r="T26" i="5"/>
  <c r="Q24" i="5"/>
  <c r="T24" i="5" s="1"/>
  <c r="L186" i="5"/>
  <c r="O186" i="5" s="1"/>
  <c r="P19" i="5"/>
  <c r="U74" i="5"/>
  <c r="R72" i="5"/>
  <c r="U72" i="5" s="1"/>
  <c r="T141" i="5"/>
  <c r="Q139" i="5"/>
  <c r="T139" i="5" s="1"/>
  <c r="L173" i="5"/>
  <c r="O173" i="5" s="1"/>
  <c r="U303" i="5"/>
  <c r="L356" i="5"/>
  <c r="O356" i="5" s="1"/>
  <c r="O358" i="5"/>
  <c r="O599" i="4"/>
  <c r="K136" i="3"/>
  <c r="M358" i="3"/>
  <c r="L333" i="4"/>
  <c r="O333" i="4" s="1"/>
  <c r="T413" i="4"/>
  <c r="U619" i="4"/>
  <c r="P602" i="4"/>
  <c r="M117" i="4"/>
  <c r="P117" i="4" s="1"/>
  <c r="P119" i="4"/>
  <c r="S192" i="1"/>
  <c r="P64" i="1"/>
  <c r="U646" i="1"/>
  <c r="R416" i="2"/>
  <c r="Q75" i="2"/>
  <c r="T75" i="2" s="1"/>
  <c r="U765" i="3"/>
  <c r="S762" i="3"/>
  <c r="S760" i="3" s="1"/>
  <c r="M582" i="3"/>
  <c r="P582" i="3" s="1"/>
  <c r="R97" i="3"/>
  <c r="U97" i="3" s="1"/>
  <c r="S94" i="4"/>
  <c r="U94" i="4" s="1"/>
  <c r="L72" i="4"/>
  <c r="O72" i="4" s="1"/>
  <c r="T142" i="4"/>
  <c r="N303" i="4"/>
  <c r="O303" i="4" s="1"/>
  <c r="P335" i="4"/>
  <c r="L513" i="4"/>
  <c r="O513" i="4" s="1"/>
  <c r="T618" i="4"/>
  <c r="U141" i="4"/>
  <c r="R72" i="4"/>
  <c r="U72" i="4" s="1"/>
  <c r="T377" i="4"/>
  <c r="U377" i="4"/>
  <c r="P601" i="4"/>
  <c r="N46" i="1"/>
  <c r="N44" i="1" s="1"/>
  <c r="S160" i="1"/>
  <c r="Q601" i="1"/>
  <c r="T601" i="1" s="1"/>
  <c r="Q648" i="1"/>
  <c r="T648" i="1" s="1"/>
  <c r="K780" i="2"/>
  <c r="Q416" i="2"/>
  <c r="T763" i="3"/>
  <c r="Q601" i="3"/>
  <c r="T601" i="3" s="1"/>
  <c r="R378" i="3"/>
  <c r="U378" i="3" s="1"/>
  <c r="P325" i="3"/>
  <c r="L222" i="3"/>
  <c r="O222" i="3" s="1"/>
  <c r="N119" i="3"/>
  <c r="N117" i="3" s="1"/>
  <c r="T99" i="3"/>
  <c r="L44" i="4"/>
  <c r="O44" i="4" s="1"/>
  <c r="P74" i="4"/>
  <c r="T268" i="4"/>
  <c r="O336" i="4"/>
  <c r="U762" i="4"/>
  <c r="P599" i="4"/>
  <c r="O602" i="4"/>
  <c r="Q303" i="4"/>
  <c r="T303" i="4" s="1"/>
  <c r="R358" i="1"/>
  <c r="U358" i="1" s="1"/>
  <c r="Q602" i="1"/>
  <c r="T602" i="1" s="1"/>
  <c r="O581" i="1"/>
  <c r="J654" i="1"/>
  <c r="K654" i="1" s="1"/>
  <c r="Q644" i="2"/>
  <c r="Q642" i="2" s="1"/>
  <c r="T418" i="2"/>
  <c r="T607" i="3"/>
  <c r="T604" i="3"/>
  <c r="L536" i="3"/>
  <c r="O536" i="3" s="1"/>
  <c r="U380" i="3"/>
  <c r="M359" i="3"/>
  <c r="O325" i="3"/>
  <c r="P274" i="3"/>
  <c r="N188" i="3"/>
  <c r="N186" i="3" s="1"/>
  <c r="N159" i="3"/>
  <c r="N157" i="3" s="1"/>
  <c r="P77" i="3"/>
  <c r="O188" i="4"/>
  <c r="T119" i="4"/>
  <c r="K457" i="4"/>
  <c r="L186" i="4"/>
  <c r="O186" i="4" s="1"/>
  <c r="P356" i="4"/>
  <c r="P378" i="4"/>
  <c r="T645" i="4"/>
  <c r="N644" i="1"/>
  <c r="K654" i="2"/>
  <c r="J701" i="3"/>
  <c r="K630" i="3"/>
  <c r="P560" i="3"/>
  <c r="N322" i="3"/>
  <c r="N320" i="3" s="1"/>
  <c r="O274" i="3"/>
  <c r="N72" i="4"/>
  <c r="P72" i="4" s="1"/>
  <c r="Q117" i="4"/>
  <c r="T117" i="4" s="1"/>
  <c r="U26" i="4"/>
  <c r="O189" i="4"/>
  <c r="U96" i="4"/>
  <c r="U139" i="4"/>
  <c r="I185" i="4"/>
  <c r="K185" i="4" s="1"/>
  <c r="P61" i="4"/>
  <c r="O378" i="4"/>
  <c r="Q690" i="4"/>
  <c r="T690" i="4" s="1"/>
  <c r="S266" i="4"/>
  <c r="U266" i="4" s="1"/>
  <c r="P24" i="4"/>
  <c r="I71" i="4"/>
  <c r="K71" i="4" s="1"/>
  <c r="K83" i="4"/>
  <c r="P306" i="4"/>
  <c r="O306" i="4"/>
  <c r="O358" i="4"/>
  <c r="L356" i="4"/>
  <c r="O356" i="4" s="1"/>
  <c r="P495" i="4"/>
  <c r="M493" i="4"/>
  <c r="P493" i="4" s="1"/>
  <c r="K150" i="1"/>
  <c r="N499" i="1"/>
  <c r="Q693" i="3"/>
  <c r="K371" i="3"/>
  <c r="N175" i="3"/>
  <c r="N173" i="3" s="1"/>
  <c r="L78" i="3"/>
  <c r="O78" i="3" s="1"/>
  <c r="L20" i="4"/>
  <c r="O23" i="4"/>
  <c r="P23" i="4"/>
  <c r="M20" i="4"/>
  <c r="P175" i="4"/>
  <c r="M173" i="4"/>
  <c r="P173" i="4" s="1"/>
  <c r="O61" i="4"/>
  <c r="L59" i="4"/>
  <c r="O59" i="4" s="1"/>
  <c r="P141" i="4"/>
  <c r="M139" i="4"/>
  <c r="P139" i="4" s="1"/>
  <c r="M320" i="4"/>
  <c r="P320" i="4" s="1"/>
  <c r="P322" i="4"/>
  <c r="T731" i="4"/>
  <c r="L419" i="2"/>
  <c r="O419" i="2" s="1"/>
  <c r="L415" i="2"/>
  <c r="L413" i="2" s="1"/>
  <c r="K369" i="2"/>
  <c r="R763" i="3"/>
  <c r="U763" i="3" s="1"/>
  <c r="R762" i="3"/>
  <c r="P518" i="3"/>
  <c r="M415" i="3"/>
  <c r="M413" i="3" s="1"/>
  <c r="Q416" i="3"/>
  <c r="L335" i="3"/>
  <c r="L333" i="3" s="1"/>
  <c r="M322" i="3"/>
  <c r="P322" i="3" s="1"/>
  <c r="K265" i="3"/>
  <c r="N176" i="3"/>
  <c r="T78" i="3"/>
  <c r="U77" i="3"/>
  <c r="N74" i="3"/>
  <c r="N72" i="3" s="1"/>
  <c r="R20" i="4"/>
  <c r="U23" i="4"/>
  <c r="K82" i="4"/>
  <c r="I70" i="4"/>
  <c r="K70" i="4" s="1"/>
  <c r="Q24" i="4"/>
  <c r="T24" i="4" s="1"/>
  <c r="T26" i="4"/>
  <c r="L24" i="4"/>
  <c r="O24" i="4" s="1"/>
  <c r="U119" i="4"/>
  <c r="R117" i="4"/>
  <c r="U117" i="4" s="1"/>
  <c r="O175" i="4"/>
  <c r="L173" i="4"/>
  <c r="O173" i="4" s="1"/>
  <c r="Q186" i="4"/>
  <c r="T186" i="4" s="1"/>
  <c r="T188" i="4"/>
  <c r="U97" i="4"/>
  <c r="P268" i="4"/>
  <c r="T762" i="4"/>
  <c r="Q95" i="1"/>
  <c r="T95" i="1" s="1"/>
  <c r="L187" i="1"/>
  <c r="O187" i="1" s="1"/>
  <c r="R283" i="1"/>
  <c r="U283" i="1" s="1"/>
  <c r="Q414" i="1"/>
  <c r="T414" i="1" s="1"/>
  <c r="R558" i="1"/>
  <c r="U558" i="1" s="1"/>
  <c r="N730" i="1"/>
  <c r="O380" i="2"/>
  <c r="N578" i="3"/>
  <c r="N576" i="3" s="1"/>
  <c r="M579" i="3"/>
  <c r="P579" i="3" s="1"/>
  <c r="S394" i="3"/>
  <c r="S392" i="3" s="1"/>
  <c r="L339" i="3"/>
  <c r="O339" i="3" s="1"/>
  <c r="O328" i="3"/>
  <c r="K314" i="3"/>
  <c r="Q141" i="3"/>
  <c r="Q139" i="3" s="1"/>
  <c r="U125" i="3"/>
  <c r="L120" i="3"/>
  <c r="O120" i="3" s="1"/>
  <c r="P80" i="3"/>
  <c r="U142" i="4"/>
  <c r="M21" i="4"/>
  <c r="P377" i="4"/>
  <c r="M375" i="4"/>
  <c r="P375" i="4" s="1"/>
  <c r="O557" i="4"/>
  <c r="L555" i="4"/>
  <c r="O555" i="4" s="1"/>
  <c r="M282" i="4"/>
  <c r="P282" i="4" s="1"/>
  <c r="U415" i="4"/>
  <c r="T415" i="4"/>
  <c r="R392" i="4"/>
  <c r="U392" i="4" s="1"/>
  <c r="S20" i="4"/>
  <c r="S18" i="4" s="1"/>
  <c r="U730" i="4"/>
  <c r="L534" i="4"/>
  <c r="O534" i="4" s="1"/>
  <c r="N47" i="1"/>
  <c r="P47" i="1" s="1"/>
  <c r="P338" i="1"/>
  <c r="J682" i="1"/>
  <c r="K682" i="1" s="1"/>
  <c r="K678" i="2"/>
  <c r="K154" i="2"/>
  <c r="K707" i="3"/>
  <c r="M495" i="3"/>
  <c r="P495" i="3" s="1"/>
  <c r="N305" i="3"/>
  <c r="N303" i="3" s="1"/>
  <c r="T125" i="3"/>
  <c r="P49" i="3"/>
  <c r="O47" i="3"/>
  <c r="R24" i="4"/>
  <c r="U24" i="4" s="1"/>
  <c r="O19" i="4"/>
  <c r="M44" i="4"/>
  <c r="O578" i="4"/>
  <c r="L576" i="4"/>
  <c r="O576" i="4" s="1"/>
  <c r="U19" i="4"/>
  <c r="T394" i="4"/>
  <c r="Q392" i="4"/>
  <c r="T392" i="4" s="1"/>
  <c r="T760" i="4"/>
  <c r="S61" i="1"/>
  <c r="I156" i="1"/>
  <c r="K156" i="1" s="1"/>
  <c r="P191" i="1"/>
  <c r="K238" i="1"/>
  <c r="K265" i="1"/>
  <c r="N321" i="1"/>
  <c r="N320" i="1" s="1"/>
  <c r="S578" i="1"/>
  <c r="M692" i="1"/>
  <c r="P692" i="1" s="1"/>
  <c r="L78" i="2"/>
  <c r="O78" i="2" s="1"/>
  <c r="J702" i="3"/>
  <c r="K631" i="3"/>
  <c r="K369" i="3"/>
  <c r="K346" i="3"/>
  <c r="N323" i="3"/>
  <c r="N306" i="3"/>
  <c r="P306" i="3" s="1"/>
  <c r="L284" i="3"/>
  <c r="L282" i="3" s="1"/>
  <c r="O271" i="3"/>
  <c r="S159" i="3"/>
  <c r="S157" i="3" s="1"/>
  <c r="L100" i="3"/>
  <c r="O100" i="3" s="1"/>
  <c r="M96" i="3"/>
  <c r="M94" i="3" s="1"/>
  <c r="P94" i="3" s="1"/>
  <c r="O49" i="3"/>
  <c r="Q20" i="4"/>
  <c r="T23" i="4"/>
  <c r="Q21" i="4"/>
  <c r="T21" i="4" s="1"/>
  <c r="O119" i="4"/>
  <c r="L117" i="4"/>
  <c r="O117" i="4" s="1"/>
  <c r="Q266" i="4"/>
  <c r="P26" i="4"/>
  <c r="L232" i="4"/>
  <c r="O243" i="4"/>
  <c r="U413" i="4"/>
  <c r="M555" i="4"/>
  <c r="P555" i="4" s="1"/>
  <c r="P557" i="4"/>
  <c r="I412" i="4"/>
  <c r="K412" i="4" s="1"/>
  <c r="K423" i="4"/>
  <c r="P415" i="4"/>
  <c r="Q616" i="4"/>
  <c r="M78" i="1"/>
  <c r="P78" i="1" s="1"/>
  <c r="N214" i="1"/>
  <c r="K774" i="3"/>
  <c r="I759" i="3"/>
  <c r="K759" i="3" s="1"/>
  <c r="K167" i="3"/>
  <c r="I156" i="3"/>
  <c r="K156" i="3" s="1"/>
  <c r="S118" i="1"/>
  <c r="N159" i="1"/>
  <c r="S323" i="1"/>
  <c r="Q335" i="1"/>
  <c r="T335" i="1" s="1"/>
  <c r="R514" i="1"/>
  <c r="U514" i="1" s="1"/>
  <c r="O542" i="1"/>
  <c r="R693" i="1"/>
  <c r="M720" i="1"/>
  <c r="P720" i="1" s="1"/>
  <c r="P336" i="2"/>
  <c r="P290" i="2"/>
  <c r="N269" i="2"/>
  <c r="N268" i="2"/>
  <c r="N266" i="2" s="1"/>
  <c r="Q160" i="2"/>
  <c r="T160" i="2" s="1"/>
  <c r="T162" i="2"/>
  <c r="L495" i="3"/>
  <c r="O495" i="3" s="1"/>
  <c r="M381" i="3"/>
  <c r="P381" i="3" s="1"/>
  <c r="P383" i="3"/>
  <c r="R188" i="3"/>
  <c r="R186" i="3" s="1"/>
  <c r="U191" i="3"/>
  <c r="R119" i="3"/>
  <c r="R117" i="3" s="1"/>
  <c r="R120" i="3"/>
  <c r="Q44" i="3"/>
  <c r="T44" i="3" s="1"/>
  <c r="M326" i="2"/>
  <c r="P326" i="2" s="1"/>
  <c r="M616" i="3"/>
  <c r="P616" i="3" s="1"/>
  <c r="P618" i="3"/>
  <c r="R576" i="3"/>
  <c r="U576" i="3" s="1"/>
  <c r="U577" i="3"/>
  <c r="Q268" i="3"/>
  <c r="T268" i="3" s="1"/>
  <c r="Q269" i="3"/>
  <c r="T271" i="3"/>
  <c r="T267" i="3"/>
  <c r="K152" i="1"/>
  <c r="M174" i="1"/>
  <c r="P174" i="1" s="1"/>
  <c r="Q304" i="1"/>
  <c r="T304" i="1" s="1"/>
  <c r="S305" i="1"/>
  <c r="S335" i="1"/>
  <c r="K369" i="1"/>
  <c r="O563" i="1"/>
  <c r="N645" i="1"/>
  <c r="K709" i="2"/>
  <c r="K631" i="2"/>
  <c r="K458" i="2"/>
  <c r="L358" i="2"/>
  <c r="L356" i="2" s="1"/>
  <c r="L235" i="2"/>
  <c r="L74" i="2"/>
  <c r="O74" i="2" s="1"/>
  <c r="K784" i="3"/>
  <c r="K781" i="3"/>
  <c r="K778" i="3"/>
  <c r="Q731" i="3"/>
  <c r="Q730" i="3"/>
  <c r="T730" i="3" s="1"/>
  <c r="Q394" i="3"/>
  <c r="T394" i="3" s="1"/>
  <c r="Q395" i="3"/>
  <c r="T395" i="3" s="1"/>
  <c r="K280" i="3"/>
  <c r="L145" i="3"/>
  <c r="O145" i="3" s="1"/>
  <c r="O147" i="3"/>
  <c r="K209" i="2"/>
  <c r="I202" i="2"/>
  <c r="K202" i="2" s="1"/>
  <c r="M714" i="3"/>
  <c r="P714" i="3" s="1"/>
  <c r="P715" i="3"/>
  <c r="M540" i="3"/>
  <c r="P540" i="3" s="1"/>
  <c r="P542" i="3"/>
  <c r="S145" i="3"/>
  <c r="T145" i="3" s="1"/>
  <c r="T147" i="3"/>
  <c r="R142" i="3"/>
  <c r="U142" i="3" s="1"/>
  <c r="U144" i="3"/>
  <c r="N61" i="3"/>
  <c r="N59" i="3" s="1"/>
  <c r="N62" i="3"/>
  <c r="O62" i="3" s="1"/>
  <c r="N123" i="1"/>
  <c r="Q321" i="1"/>
  <c r="T321" i="1" s="1"/>
  <c r="N335" i="1"/>
  <c r="M494" i="1"/>
  <c r="R535" i="1"/>
  <c r="U535" i="1" s="1"/>
  <c r="M556" i="1"/>
  <c r="P556" i="1" s="1"/>
  <c r="S605" i="1"/>
  <c r="R643" i="1"/>
  <c r="U643" i="1" s="1"/>
  <c r="Q734" i="1"/>
  <c r="T734" i="1" s="1"/>
  <c r="K784" i="2"/>
  <c r="K781" i="2"/>
  <c r="O181" i="2"/>
  <c r="L179" i="2"/>
  <c r="O179" i="2" s="1"/>
  <c r="J674" i="3"/>
  <c r="L601" i="3"/>
  <c r="O601" i="3" s="1"/>
  <c r="L540" i="3"/>
  <c r="O540" i="3" s="1"/>
  <c r="O542" i="3"/>
  <c r="O380" i="3"/>
  <c r="L377" i="3"/>
  <c r="O377" i="3" s="1"/>
  <c r="M339" i="3"/>
  <c r="P339" i="3" s="1"/>
  <c r="P341" i="3"/>
  <c r="L233" i="3"/>
  <c r="R192" i="3"/>
  <c r="U192" i="3" s="1"/>
  <c r="M188" i="3"/>
  <c r="M186" i="3" s="1"/>
  <c r="M189" i="3"/>
  <c r="P191" i="3"/>
  <c r="S189" i="3"/>
  <c r="Q160" i="3"/>
  <c r="T160" i="3" s="1"/>
  <c r="T162" i="3"/>
  <c r="O379" i="1"/>
  <c r="N557" i="3"/>
  <c r="N555" i="3" s="1"/>
  <c r="P178" i="3"/>
  <c r="M176" i="3"/>
  <c r="P67" i="1"/>
  <c r="K151" i="1"/>
  <c r="K154" i="1"/>
  <c r="J459" i="1"/>
  <c r="J467" i="1"/>
  <c r="J476" i="1"/>
  <c r="T496" i="1"/>
  <c r="K778" i="1"/>
  <c r="K781" i="1"/>
  <c r="K784" i="1"/>
  <c r="I701" i="2"/>
  <c r="L540" i="2"/>
  <c r="O540" i="2" s="1"/>
  <c r="U380" i="2"/>
  <c r="S377" i="2"/>
  <c r="S375" i="2" s="1"/>
  <c r="M284" i="2"/>
  <c r="M282" i="2" s="1"/>
  <c r="K229" i="2"/>
  <c r="L192" i="2"/>
  <c r="O192" i="2" s="1"/>
  <c r="O191" i="2"/>
  <c r="L189" i="2"/>
  <c r="O189" i="2" s="1"/>
  <c r="P80" i="2"/>
  <c r="S305" i="3"/>
  <c r="S303" i="3" s="1"/>
  <c r="S306" i="3"/>
  <c r="N284" i="3"/>
  <c r="N285" i="3"/>
  <c r="O285" i="3" s="1"/>
  <c r="P287" i="3"/>
  <c r="R268" i="3"/>
  <c r="U268" i="3" s="1"/>
  <c r="R269" i="3"/>
  <c r="U271" i="3"/>
  <c r="K249" i="3"/>
  <c r="L192" i="3"/>
  <c r="O192" i="3" s="1"/>
  <c r="O194" i="3"/>
  <c r="L188" i="3"/>
  <c r="L186" i="3" s="1"/>
  <c r="L189" i="3"/>
  <c r="O191" i="3"/>
  <c r="R189" i="3"/>
  <c r="S119" i="3"/>
  <c r="S117" i="3" s="1"/>
  <c r="Q19" i="3"/>
  <c r="T19" i="3" s="1"/>
  <c r="R730" i="3"/>
  <c r="U730" i="3" s="1"/>
  <c r="S728" i="3"/>
  <c r="R714" i="3"/>
  <c r="U714" i="3" s="1"/>
  <c r="K629" i="3"/>
  <c r="Q618" i="3"/>
  <c r="Q616" i="3" s="1"/>
  <c r="N616" i="3"/>
  <c r="O584" i="3"/>
  <c r="M561" i="3"/>
  <c r="P561" i="3" s="1"/>
  <c r="M557" i="3"/>
  <c r="P557" i="3" s="1"/>
  <c r="T556" i="3"/>
  <c r="N536" i="3"/>
  <c r="N534" i="3" s="1"/>
  <c r="N537" i="3"/>
  <c r="O521" i="3"/>
  <c r="O334" i="3"/>
  <c r="P194" i="3"/>
  <c r="Q188" i="3"/>
  <c r="Q186" i="3" s="1"/>
  <c r="Q189" i="3"/>
  <c r="M145" i="3"/>
  <c r="P145" i="3" s="1"/>
  <c r="O144" i="3"/>
  <c r="N19" i="3"/>
  <c r="O308" i="2"/>
  <c r="M268" i="2"/>
  <c r="M266" i="2" s="1"/>
  <c r="L236" i="2"/>
  <c r="K780" i="3"/>
  <c r="U733" i="3"/>
  <c r="J675" i="3"/>
  <c r="M536" i="3"/>
  <c r="M537" i="3"/>
  <c r="P537" i="3" s="1"/>
  <c r="L515" i="3"/>
  <c r="O515" i="3" s="1"/>
  <c r="J457" i="3"/>
  <c r="J456" i="3" s="1"/>
  <c r="U397" i="3"/>
  <c r="R394" i="3"/>
  <c r="U394" i="3" s="1"/>
  <c r="N335" i="3"/>
  <c r="L322" i="3"/>
  <c r="O322" i="3" s="1"/>
  <c r="M268" i="3"/>
  <c r="M266" i="3" s="1"/>
  <c r="S269" i="3"/>
  <c r="L236" i="3"/>
  <c r="L235" i="3"/>
  <c r="J231" i="3"/>
  <c r="J185" i="3" s="1"/>
  <c r="L214" i="3"/>
  <c r="O214" i="3" s="1"/>
  <c r="K209" i="3"/>
  <c r="N189" i="3"/>
  <c r="O162" i="3"/>
  <c r="R160" i="3"/>
  <c r="U160" i="3" s="1"/>
  <c r="L123" i="3"/>
  <c r="O123" i="3" s="1"/>
  <c r="L97" i="3"/>
  <c r="O97" i="3" s="1"/>
  <c r="U80" i="3"/>
  <c r="M19" i="3"/>
  <c r="P19" i="3" s="1"/>
  <c r="N728" i="3"/>
  <c r="N714" i="3"/>
  <c r="I701" i="3"/>
  <c r="L690" i="3"/>
  <c r="O690" i="3" s="1"/>
  <c r="N642" i="3"/>
  <c r="L616" i="3"/>
  <c r="O616" i="3" s="1"/>
  <c r="N495" i="3"/>
  <c r="N493" i="3" s="1"/>
  <c r="K458" i="3"/>
  <c r="K441" i="3"/>
  <c r="N377" i="3"/>
  <c r="N375" i="3" s="1"/>
  <c r="M377" i="3"/>
  <c r="P377" i="3" s="1"/>
  <c r="M362" i="3"/>
  <c r="P362" i="3" s="1"/>
  <c r="N336" i="3"/>
  <c r="R320" i="3"/>
  <c r="U320" i="3" s="1"/>
  <c r="M305" i="3"/>
  <c r="K293" i="3"/>
  <c r="L268" i="3"/>
  <c r="L266" i="3" s="1"/>
  <c r="L234" i="3"/>
  <c r="L160" i="3"/>
  <c r="O160" i="3" s="1"/>
  <c r="K153" i="3"/>
  <c r="U147" i="3"/>
  <c r="T144" i="3"/>
  <c r="P144" i="3"/>
  <c r="T122" i="3"/>
  <c r="I116" i="3"/>
  <c r="K116" i="3" s="1"/>
  <c r="N96" i="3"/>
  <c r="N94" i="3" s="1"/>
  <c r="R74" i="3"/>
  <c r="R72" i="3" s="1"/>
  <c r="L74" i="3"/>
  <c r="P64" i="3"/>
  <c r="T22" i="3"/>
  <c r="T194" i="2"/>
  <c r="K782" i="3"/>
  <c r="K726" i="3"/>
  <c r="K457" i="3"/>
  <c r="N415" i="3"/>
  <c r="N413" i="3" s="1"/>
  <c r="L336" i="3"/>
  <c r="M309" i="3"/>
  <c r="P309" i="3" s="1"/>
  <c r="L203" i="3"/>
  <c r="O203" i="3" s="1"/>
  <c r="S141" i="3"/>
  <c r="S139" i="3" s="1"/>
  <c r="Q142" i="3"/>
  <c r="T142" i="3" s="1"/>
  <c r="L119" i="3"/>
  <c r="O119" i="3" s="1"/>
  <c r="Q74" i="3"/>
  <c r="Q72" i="3" s="1"/>
  <c r="N75" i="3"/>
  <c r="P75" i="3" s="1"/>
  <c r="O64" i="3"/>
  <c r="M145" i="1"/>
  <c r="P145" i="1" s="1"/>
  <c r="Q691" i="1"/>
  <c r="T691" i="1" s="1"/>
  <c r="M378" i="2"/>
  <c r="P378" i="2" s="1"/>
  <c r="P380" i="2"/>
  <c r="O421" i="3"/>
  <c r="L419" i="3"/>
  <c r="O419" i="3" s="1"/>
  <c r="Q26" i="1"/>
  <c r="K129" i="1"/>
  <c r="K137" i="1"/>
  <c r="Q214" i="1"/>
  <c r="P584" i="2"/>
  <c r="M582" i="2"/>
  <c r="P582" i="2" s="1"/>
  <c r="Q123" i="2"/>
  <c r="T123" i="2" s="1"/>
  <c r="T125" i="2"/>
  <c r="R605" i="2"/>
  <c r="U605" i="2" s="1"/>
  <c r="U607" i="2"/>
  <c r="R145" i="2"/>
  <c r="U145" i="2" s="1"/>
  <c r="U147" i="2"/>
  <c r="U691" i="3"/>
  <c r="M642" i="3"/>
  <c r="P642" i="3" s="1"/>
  <c r="P643" i="3"/>
  <c r="O498" i="3"/>
  <c r="L496" i="3"/>
  <c r="O496" i="3" s="1"/>
  <c r="L415" i="3"/>
  <c r="L413" i="3" s="1"/>
  <c r="O364" i="3"/>
  <c r="L362" i="3"/>
  <c r="O362" i="3" s="1"/>
  <c r="P338" i="3"/>
  <c r="M335" i="3"/>
  <c r="M336" i="3"/>
  <c r="P328" i="3"/>
  <c r="M326" i="3"/>
  <c r="P326" i="3" s="1"/>
  <c r="N62" i="1"/>
  <c r="K774" i="1"/>
  <c r="J759" i="1"/>
  <c r="K759" i="1" s="1"/>
  <c r="U761" i="3"/>
  <c r="S96" i="1"/>
  <c r="Q78" i="2"/>
  <c r="T78" i="2" s="1"/>
  <c r="T80" i="2"/>
  <c r="R618" i="3"/>
  <c r="U621" i="3"/>
  <c r="R619" i="3"/>
  <c r="K85" i="1"/>
  <c r="K88" i="1"/>
  <c r="K92" i="1"/>
  <c r="K130" i="1"/>
  <c r="Q142" i="1"/>
  <c r="T142" i="1" s="1"/>
  <c r="T144" i="1"/>
  <c r="U147" i="1"/>
  <c r="M159" i="1"/>
  <c r="N187" i="1"/>
  <c r="N189" i="1"/>
  <c r="R557" i="1"/>
  <c r="U557" i="1" s="1"/>
  <c r="U560" i="1"/>
  <c r="L601" i="1"/>
  <c r="M643" i="1"/>
  <c r="P643" i="1" s="1"/>
  <c r="O383" i="2"/>
  <c r="L381" i="2"/>
  <c r="O381" i="2" s="1"/>
  <c r="M100" i="2"/>
  <c r="P100" i="2" s="1"/>
  <c r="P102" i="2"/>
  <c r="Q97" i="2"/>
  <c r="T97" i="2" s="1"/>
  <c r="T99" i="2"/>
  <c r="K785" i="3"/>
  <c r="K779" i="3"/>
  <c r="K727" i="3"/>
  <c r="T691" i="3"/>
  <c r="Q690" i="3"/>
  <c r="M690" i="3"/>
  <c r="P690" i="3" s="1"/>
  <c r="U607" i="3"/>
  <c r="R605" i="3"/>
  <c r="U605" i="3" s="1"/>
  <c r="O581" i="3"/>
  <c r="L579" i="3"/>
  <c r="O579" i="3" s="1"/>
  <c r="L578" i="3"/>
  <c r="O578" i="3" s="1"/>
  <c r="O556" i="3"/>
  <c r="O501" i="3"/>
  <c r="L499" i="3"/>
  <c r="O499" i="3" s="1"/>
  <c r="S496" i="3"/>
  <c r="S495" i="3"/>
  <c r="S493" i="3" s="1"/>
  <c r="I492" i="3"/>
  <c r="K492" i="3" s="1"/>
  <c r="I365" i="3"/>
  <c r="K365" i="3" s="1"/>
  <c r="O290" i="3"/>
  <c r="L288" i="3"/>
  <c r="O288" i="3" s="1"/>
  <c r="Q692" i="2"/>
  <c r="Q690" i="2" s="1"/>
  <c r="Q693" i="2"/>
  <c r="S377" i="3"/>
  <c r="S375" i="3" s="1"/>
  <c r="S378" i="3"/>
  <c r="P77" i="1"/>
  <c r="L96" i="1"/>
  <c r="O96" i="1" s="1"/>
  <c r="L61" i="1"/>
  <c r="Q119" i="1"/>
  <c r="Q118" i="1"/>
  <c r="T118" i="1" s="1"/>
  <c r="I136" i="1"/>
  <c r="K136" i="1" s="1"/>
  <c r="Q145" i="1"/>
  <c r="O178" i="1"/>
  <c r="L322" i="1"/>
  <c r="N376" i="1"/>
  <c r="T397" i="1"/>
  <c r="Q394" i="1"/>
  <c r="T394" i="1" s="1"/>
  <c r="P604" i="1"/>
  <c r="K778" i="2"/>
  <c r="S762" i="2"/>
  <c r="S760" i="2" s="1"/>
  <c r="S763" i="2"/>
  <c r="S305" i="2"/>
  <c r="U305" i="2" s="1"/>
  <c r="S306" i="2"/>
  <c r="Q189" i="2"/>
  <c r="T189" i="2" s="1"/>
  <c r="T191" i="2"/>
  <c r="K108" i="2"/>
  <c r="M75" i="2"/>
  <c r="P75" i="2" s="1"/>
  <c r="P77" i="2"/>
  <c r="O761" i="3"/>
  <c r="L760" i="3"/>
  <c r="O760" i="3" s="1"/>
  <c r="M728" i="3"/>
  <c r="P728" i="3" s="1"/>
  <c r="P729" i="3"/>
  <c r="T695" i="3"/>
  <c r="S693" i="3"/>
  <c r="S692" i="3"/>
  <c r="K632" i="3"/>
  <c r="J626" i="3"/>
  <c r="S601" i="3"/>
  <c r="S599" i="3" s="1"/>
  <c r="O563" i="3"/>
  <c r="L561" i="3"/>
  <c r="O561" i="3" s="1"/>
  <c r="L557" i="3"/>
  <c r="O557" i="3" s="1"/>
  <c r="O418" i="3"/>
  <c r="L416" i="3"/>
  <c r="O416" i="3" s="1"/>
  <c r="O308" i="3"/>
  <c r="L306" i="3"/>
  <c r="L305" i="3"/>
  <c r="R160" i="1"/>
  <c r="U160" i="1" s="1"/>
  <c r="N496" i="2"/>
  <c r="N495" i="2"/>
  <c r="N493" i="2" s="1"/>
  <c r="L323" i="2"/>
  <c r="O323" i="2" s="1"/>
  <c r="O325" i="2"/>
  <c r="S618" i="3"/>
  <c r="S616" i="3" s="1"/>
  <c r="T621" i="3"/>
  <c r="S619" i="3"/>
  <c r="T619" i="3" s="1"/>
  <c r="Q513" i="3"/>
  <c r="T513" i="3" s="1"/>
  <c r="S123" i="1"/>
  <c r="K783" i="3"/>
  <c r="S645" i="3"/>
  <c r="S644" i="3"/>
  <c r="S642" i="3" s="1"/>
  <c r="P187" i="3"/>
  <c r="T99" i="1"/>
  <c r="Q159" i="1"/>
  <c r="T159" i="1" s="1"/>
  <c r="I185" i="1"/>
  <c r="K185" i="1" s="1"/>
  <c r="N693" i="1"/>
  <c r="Q496" i="2"/>
  <c r="T496" i="2" s="1"/>
  <c r="T498" i="2"/>
  <c r="S175" i="2"/>
  <c r="S173" i="2" s="1"/>
  <c r="S176" i="2"/>
  <c r="R692" i="3"/>
  <c r="U695" i="3"/>
  <c r="R693" i="3"/>
  <c r="U604" i="3"/>
  <c r="R602" i="3"/>
  <c r="U602" i="3" s="1"/>
  <c r="R601" i="3"/>
  <c r="U601" i="3" s="1"/>
  <c r="P421" i="3"/>
  <c r="M419" i="3"/>
  <c r="P419" i="3" s="1"/>
  <c r="T418" i="3"/>
  <c r="S416" i="3"/>
  <c r="S415" i="3"/>
  <c r="U415" i="3" s="1"/>
  <c r="N192" i="1"/>
  <c r="P325" i="1"/>
  <c r="T498" i="1"/>
  <c r="L514" i="1"/>
  <c r="O514" i="1" s="1"/>
  <c r="L558" i="1"/>
  <c r="O558" i="1" s="1"/>
  <c r="L600" i="1"/>
  <c r="O600" i="1" s="1"/>
  <c r="K628" i="1"/>
  <c r="N696" i="1"/>
  <c r="K752" i="1"/>
  <c r="K783" i="2"/>
  <c r="J675" i="2"/>
  <c r="K675" i="2" s="1"/>
  <c r="M516" i="2"/>
  <c r="P516" i="2" s="1"/>
  <c r="M499" i="2"/>
  <c r="P499" i="2" s="1"/>
  <c r="L377" i="2"/>
  <c r="L375" i="2" s="1"/>
  <c r="O375" i="2" s="1"/>
  <c r="O364" i="2"/>
  <c r="L288" i="2"/>
  <c r="O288" i="2" s="1"/>
  <c r="N284" i="2"/>
  <c r="N282" i="2" s="1"/>
  <c r="K183" i="2"/>
  <c r="K153" i="2"/>
  <c r="R74" i="2"/>
  <c r="U74" i="2" s="1"/>
  <c r="I758" i="3"/>
  <c r="K758" i="3" s="1"/>
  <c r="T733" i="3"/>
  <c r="L728" i="3"/>
  <c r="O728" i="3" s="1"/>
  <c r="U715" i="3"/>
  <c r="Q714" i="3"/>
  <c r="T714" i="3" s="1"/>
  <c r="K703" i="3"/>
  <c r="R644" i="3"/>
  <c r="U644" i="3" s="1"/>
  <c r="U647" i="3"/>
  <c r="T643" i="3"/>
  <c r="L642" i="3"/>
  <c r="O642" i="3" s="1"/>
  <c r="Q576" i="3"/>
  <c r="T576" i="3" s="1"/>
  <c r="R555" i="3"/>
  <c r="U555" i="3" s="1"/>
  <c r="U556" i="3"/>
  <c r="N515" i="3"/>
  <c r="N513" i="3" s="1"/>
  <c r="U498" i="3"/>
  <c r="R496" i="3"/>
  <c r="U496" i="3" s="1"/>
  <c r="K440" i="3"/>
  <c r="K423" i="3"/>
  <c r="U418" i="3"/>
  <c r="R416" i="3"/>
  <c r="M392" i="3"/>
  <c r="P392" i="3" s="1"/>
  <c r="M378" i="3"/>
  <c r="P378" i="3" s="1"/>
  <c r="N359" i="3"/>
  <c r="O361" i="3"/>
  <c r="P361" i="3"/>
  <c r="K292" i="3"/>
  <c r="I281" i="3"/>
  <c r="K281" i="3" s="1"/>
  <c r="T178" i="3"/>
  <c r="S175" i="3"/>
  <c r="S173" i="3" s="1"/>
  <c r="S176" i="3"/>
  <c r="I92" i="3"/>
  <c r="K92" i="3" s="1"/>
  <c r="K108" i="3"/>
  <c r="S97" i="3"/>
  <c r="S96" i="3"/>
  <c r="S94" i="3" s="1"/>
  <c r="Q26" i="3"/>
  <c r="U191" i="1"/>
  <c r="O222" i="1"/>
  <c r="K228" i="1"/>
  <c r="U271" i="1"/>
  <c r="K292" i="1"/>
  <c r="K296" i="1"/>
  <c r="R495" i="1"/>
  <c r="Q536" i="1"/>
  <c r="T536" i="1" s="1"/>
  <c r="M557" i="1"/>
  <c r="N578" i="1"/>
  <c r="K673" i="1"/>
  <c r="Q716" i="1"/>
  <c r="T716" i="1" s="1"/>
  <c r="N720" i="1"/>
  <c r="K705" i="2"/>
  <c r="U604" i="2"/>
  <c r="K292" i="2"/>
  <c r="K281" i="2"/>
  <c r="K221" i="2"/>
  <c r="U144" i="2"/>
  <c r="Q74" i="2"/>
  <c r="T74" i="2" s="1"/>
  <c r="P761" i="3"/>
  <c r="N690" i="3"/>
  <c r="J689" i="3"/>
  <c r="K689" i="3" s="1"/>
  <c r="Q644" i="3"/>
  <c r="T644" i="3" s="1"/>
  <c r="T647" i="3"/>
  <c r="N601" i="3"/>
  <c r="N599" i="3" s="1"/>
  <c r="N602" i="3"/>
  <c r="O539" i="3"/>
  <c r="L537" i="3"/>
  <c r="O537" i="3" s="1"/>
  <c r="R534" i="3"/>
  <c r="U534" i="3" s="1"/>
  <c r="M515" i="3"/>
  <c r="R493" i="3"/>
  <c r="U493" i="3" s="1"/>
  <c r="K456" i="3"/>
  <c r="R413" i="3"/>
  <c r="J374" i="3"/>
  <c r="L378" i="3"/>
  <c r="O378" i="3" s="1"/>
  <c r="O181" i="3"/>
  <c r="L179" i="3"/>
  <c r="O179" i="3" s="1"/>
  <c r="R175" i="3"/>
  <c r="R173" i="3" s="1"/>
  <c r="U178" i="3"/>
  <c r="R176" i="3"/>
  <c r="P122" i="3"/>
  <c r="M120" i="3"/>
  <c r="P120" i="3" s="1"/>
  <c r="M119" i="3"/>
  <c r="P60" i="3"/>
  <c r="T191" i="1"/>
  <c r="M283" i="1"/>
  <c r="P283" i="1" s="1"/>
  <c r="N285" i="1"/>
  <c r="J484" i="1"/>
  <c r="J475" i="1" s="1"/>
  <c r="S601" i="1"/>
  <c r="S692" i="1"/>
  <c r="U692" i="1" s="1"/>
  <c r="J702" i="1"/>
  <c r="K220" i="2"/>
  <c r="L214" i="2"/>
  <c r="O214" i="2" s="1"/>
  <c r="O176" i="2"/>
  <c r="K169" i="2"/>
  <c r="K152" i="2"/>
  <c r="K109" i="2"/>
  <c r="Q762" i="3"/>
  <c r="T765" i="3"/>
  <c r="L714" i="3"/>
  <c r="O714" i="3" s="1"/>
  <c r="M605" i="3"/>
  <c r="P605" i="3" s="1"/>
  <c r="M601" i="3"/>
  <c r="P604" i="3"/>
  <c r="M602" i="3"/>
  <c r="P602" i="3" s="1"/>
  <c r="Q534" i="3"/>
  <c r="T534" i="3" s="1"/>
  <c r="P521" i="3"/>
  <c r="M519" i="3"/>
  <c r="P519" i="3" s="1"/>
  <c r="Q493" i="3"/>
  <c r="T493" i="3" s="1"/>
  <c r="T494" i="3"/>
  <c r="Q413" i="3"/>
  <c r="T414" i="3"/>
  <c r="K386" i="3"/>
  <c r="I374" i="3"/>
  <c r="J332" i="3"/>
  <c r="K332" i="3" s="1"/>
  <c r="J343" i="3"/>
  <c r="Q333" i="3"/>
  <c r="T333" i="3" s="1"/>
  <c r="T334" i="3"/>
  <c r="P283" i="3"/>
  <c r="K198" i="3"/>
  <c r="I195" i="3"/>
  <c r="K195" i="3" s="1"/>
  <c r="K183" i="3"/>
  <c r="I172" i="3"/>
  <c r="K172" i="3" s="1"/>
  <c r="U25" i="3"/>
  <c r="R19" i="3"/>
  <c r="O19" i="3"/>
  <c r="O191" i="1"/>
  <c r="S188" i="1"/>
  <c r="T188" i="1" s="1"/>
  <c r="O271" i="1"/>
  <c r="R322" i="1"/>
  <c r="U322" i="1" s="1"/>
  <c r="R334" i="1"/>
  <c r="U334" i="1" s="1"/>
  <c r="K388" i="1"/>
  <c r="J460" i="1"/>
  <c r="Q514" i="1"/>
  <c r="T514" i="1" s="1"/>
  <c r="N519" i="1"/>
  <c r="S536" i="1"/>
  <c r="R536" i="1"/>
  <c r="U536" i="1" s="1"/>
  <c r="O604" i="1"/>
  <c r="L645" i="1"/>
  <c r="O645" i="1" s="1"/>
  <c r="S715" i="1"/>
  <c r="J374" i="2"/>
  <c r="N377" i="2"/>
  <c r="N375" i="2" s="1"/>
  <c r="I83" i="2"/>
  <c r="K83" i="2" s="1"/>
  <c r="O607" i="3"/>
  <c r="L605" i="3"/>
  <c r="O605" i="3" s="1"/>
  <c r="O604" i="3"/>
  <c r="L602" i="3"/>
  <c r="O602" i="3" s="1"/>
  <c r="P556" i="3"/>
  <c r="J503" i="3"/>
  <c r="J492" i="3" s="1"/>
  <c r="P501" i="3"/>
  <c r="M499" i="3"/>
  <c r="P499" i="3" s="1"/>
  <c r="P498" i="3"/>
  <c r="M496" i="3"/>
  <c r="P496" i="3" s="1"/>
  <c r="P418" i="3"/>
  <c r="M416" i="3"/>
  <c r="P416" i="3" s="1"/>
  <c r="T393" i="3"/>
  <c r="Q375" i="3"/>
  <c r="T376" i="3"/>
  <c r="T600" i="3"/>
  <c r="P581" i="3"/>
  <c r="T577" i="3"/>
  <c r="P539" i="3"/>
  <c r="T535" i="3"/>
  <c r="O518" i="3"/>
  <c r="U494" i="3"/>
  <c r="O494" i="3"/>
  <c r="U414" i="3"/>
  <c r="O414" i="3"/>
  <c r="T397" i="3"/>
  <c r="U393" i="3"/>
  <c r="L358" i="3"/>
  <c r="L356" i="3" s="1"/>
  <c r="U357" i="3"/>
  <c r="K330" i="3"/>
  <c r="I319" i="3"/>
  <c r="K319" i="3" s="1"/>
  <c r="U322" i="3"/>
  <c r="O311" i="3"/>
  <c r="L309" i="3"/>
  <c r="O309" i="3" s="1"/>
  <c r="N268" i="3"/>
  <c r="P267" i="3"/>
  <c r="L254" i="3"/>
  <c r="O254" i="3" s="1"/>
  <c r="L243" i="3"/>
  <c r="I213" i="3"/>
  <c r="K213" i="3" s="1"/>
  <c r="K220" i="3"/>
  <c r="M175" i="3"/>
  <c r="I137" i="3"/>
  <c r="K137" i="3" s="1"/>
  <c r="K152" i="3"/>
  <c r="N123" i="3"/>
  <c r="N26" i="3"/>
  <c r="N24" i="3" s="1"/>
  <c r="U122" i="3"/>
  <c r="S120" i="3"/>
  <c r="T380" i="3"/>
  <c r="Q378" i="3"/>
  <c r="R375" i="3"/>
  <c r="U375" i="3" s="1"/>
  <c r="U308" i="3"/>
  <c r="R306" i="3"/>
  <c r="R303" i="3"/>
  <c r="O267" i="3"/>
  <c r="O174" i="3"/>
  <c r="P125" i="3"/>
  <c r="M123" i="3"/>
  <c r="P123" i="3" s="1"/>
  <c r="U22" i="3"/>
  <c r="T308" i="3"/>
  <c r="Q306" i="3"/>
  <c r="P271" i="3"/>
  <c r="N269" i="3"/>
  <c r="P269" i="3" s="1"/>
  <c r="S266" i="3"/>
  <c r="I238" i="3"/>
  <c r="K238" i="3" s="1"/>
  <c r="I253" i="3"/>
  <c r="K260" i="3"/>
  <c r="P162" i="3"/>
  <c r="M160" i="3"/>
  <c r="P160" i="3" s="1"/>
  <c r="M159" i="3"/>
  <c r="L392" i="3"/>
  <c r="O392" i="3" s="1"/>
  <c r="Q305" i="3"/>
  <c r="Q303" i="3" s="1"/>
  <c r="P290" i="3"/>
  <c r="M288" i="3"/>
  <c r="P288" i="3" s="1"/>
  <c r="M284" i="3"/>
  <c r="U267" i="3"/>
  <c r="P181" i="3"/>
  <c r="M179" i="3"/>
  <c r="P179" i="3" s="1"/>
  <c r="L175" i="3"/>
  <c r="O178" i="3"/>
  <c r="L176" i="3"/>
  <c r="P165" i="3"/>
  <c r="M163" i="3"/>
  <c r="P163" i="3" s="1"/>
  <c r="U140" i="3"/>
  <c r="R26" i="3"/>
  <c r="R24" i="3" s="1"/>
  <c r="P45" i="3"/>
  <c r="O338" i="3"/>
  <c r="P308" i="3"/>
  <c r="T304" i="3"/>
  <c r="T191" i="3"/>
  <c r="Q176" i="3"/>
  <c r="Q175" i="3"/>
  <c r="U174" i="3"/>
  <c r="I168" i="3"/>
  <c r="K168" i="3" s="1"/>
  <c r="I169" i="3"/>
  <c r="K169" i="3" s="1"/>
  <c r="O158" i="3"/>
  <c r="O118" i="3"/>
  <c r="O95" i="3"/>
  <c r="P67" i="3"/>
  <c r="M65" i="3"/>
  <c r="P65" i="3" s="1"/>
  <c r="K229" i="3"/>
  <c r="T174" i="3"/>
  <c r="U95" i="3"/>
  <c r="I82" i="3"/>
  <c r="O67" i="3"/>
  <c r="L65" i="3"/>
  <c r="O65" i="3" s="1"/>
  <c r="L61" i="3"/>
  <c r="P52" i="3"/>
  <c r="M26" i="3"/>
  <c r="M50" i="3"/>
  <c r="P50" i="3" s="1"/>
  <c r="P47" i="3"/>
  <c r="P25" i="3"/>
  <c r="U158" i="3"/>
  <c r="P140" i="3"/>
  <c r="U118" i="3"/>
  <c r="P102" i="3"/>
  <c r="M100" i="3"/>
  <c r="P100" i="3" s="1"/>
  <c r="T95" i="3"/>
  <c r="I83" i="3"/>
  <c r="U75" i="3"/>
  <c r="P73" i="3"/>
  <c r="O52" i="3"/>
  <c r="L26" i="3"/>
  <c r="L50" i="3"/>
  <c r="O50" i="3" s="1"/>
  <c r="L46" i="3"/>
  <c r="O25" i="3"/>
  <c r="N23" i="3"/>
  <c r="P22" i="3"/>
  <c r="T158" i="3"/>
  <c r="N141" i="3"/>
  <c r="N139" i="3" s="1"/>
  <c r="O140" i="3"/>
  <c r="T118" i="3"/>
  <c r="P99" i="3"/>
  <c r="M97" i="3"/>
  <c r="P97" i="3" s="1"/>
  <c r="U78" i="3"/>
  <c r="T75" i="3"/>
  <c r="O22" i="3"/>
  <c r="R159" i="3"/>
  <c r="U159" i="3" s="1"/>
  <c r="L159" i="3"/>
  <c r="K154" i="3"/>
  <c r="M141" i="3"/>
  <c r="M139" i="3" s="1"/>
  <c r="R96" i="3"/>
  <c r="U96" i="3" s="1"/>
  <c r="L96" i="3"/>
  <c r="O96" i="3" s="1"/>
  <c r="T80" i="3"/>
  <c r="T77" i="3"/>
  <c r="N46" i="3"/>
  <c r="N44" i="3" s="1"/>
  <c r="S26" i="3"/>
  <c r="S24" i="3" s="1"/>
  <c r="S23" i="3"/>
  <c r="M23" i="3"/>
  <c r="M21" i="3" s="1"/>
  <c r="Q159" i="3"/>
  <c r="T159" i="3" s="1"/>
  <c r="R141" i="3"/>
  <c r="L141" i="3"/>
  <c r="L139" i="3" s="1"/>
  <c r="Q119" i="3"/>
  <c r="Q96" i="3"/>
  <c r="T96" i="3" s="1"/>
  <c r="K85" i="3"/>
  <c r="S74" i="3"/>
  <c r="M74" i="3"/>
  <c r="M61" i="3"/>
  <c r="M46" i="3"/>
  <c r="R23" i="3"/>
  <c r="L23" i="3"/>
  <c r="L21" i="3" s="1"/>
  <c r="L163" i="3"/>
  <c r="O163" i="3" s="1"/>
  <c r="Q23" i="3"/>
  <c r="N392" i="1"/>
  <c r="T76" i="1"/>
  <c r="O102" i="1"/>
  <c r="S119" i="1"/>
  <c r="S46" i="1"/>
  <c r="S44" i="1" s="1"/>
  <c r="R73" i="1"/>
  <c r="U73" i="1" s="1"/>
  <c r="I82" i="1"/>
  <c r="I70" i="1" s="1"/>
  <c r="I83" i="1"/>
  <c r="I71" i="1" s="1"/>
  <c r="M118" i="1"/>
  <c r="P118" i="1" s="1"/>
  <c r="P121" i="1"/>
  <c r="Q123" i="1"/>
  <c r="K128" i="1"/>
  <c r="S141" i="1"/>
  <c r="S159" i="1"/>
  <c r="S187" i="1"/>
  <c r="N267" i="1"/>
  <c r="N283" i="1"/>
  <c r="N284" i="1"/>
  <c r="O287" i="1"/>
  <c r="K295" i="1"/>
  <c r="K299" i="1"/>
  <c r="S309" i="1"/>
  <c r="L321" i="1"/>
  <c r="O321" i="1" s="1"/>
  <c r="M323" i="1"/>
  <c r="S322" i="1"/>
  <c r="P361" i="1"/>
  <c r="K503" i="1"/>
  <c r="R556" i="1"/>
  <c r="P650" i="1"/>
  <c r="M648" i="1"/>
  <c r="P648" i="1" s="1"/>
  <c r="Q693" i="1"/>
  <c r="Q692" i="1"/>
  <c r="K703" i="2"/>
  <c r="J701" i="2"/>
  <c r="O643" i="2"/>
  <c r="L642" i="2"/>
  <c r="O642" i="2" s="1"/>
  <c r="T515" i="2"/>
  <c r="Q513" i="2"/>
  <c r="T513" i="2" s="1"/>
  <c r="R394" i="2"/>
  <c r="U394" i="2" s="1"/>
  <c r="R395" i="2"/>
  <c r="U395" i="2" s="1"/>
  <c r="K346" i="2"/>
  <c r="I195" i="2"/>
  <c r="K195" i="2" s="1"/>
  <c r="K198" i="2"/>
  <c r="Q141" i="2"/>
  <c r="Q142" i="2"/>
  <c r="T142" i="2" s="1"/>
  <c r="T144" i="2"/>
  <c r="R59" i="2"/>
  <c r="U59" i="2" s="1"/>
  <c r="R22" i="1"/>
  <c r="U22" i="1" s="1"/>
  <c r="S304" i="1"/>
  <c r="T691" i="2"/>
  <c r="M309" i="2"/>
  <c r="P309" i="2" s="1"/>
  <c r="P311" i="2"/>
  <c r="M61" i="1"/>
  <c r="M65" i="1"/>
  <c r="M73" i="1"/>
  <c r="P73" i="1" s="1"/>
  <c r="N75" i="1"/>
  <c r="Q100" i="1"/>
  <c r="T100" i="1" s="1"/>
  <c r="N120" i="1"/>
  <c r="S163" i="1"/>
  <c r="K183" i="1"/>
  <c r="N188" i="1"/>
  <c r="Q268" i="1"/>
  <c r="T268" i="1" s="1"/>
  <c r="Q272" i="1"/>
  <c r="T272" i="1" s="1"/>
  <c r="N268" i="1"/>
  <c r="P268" i="1" s="1"/>
  <c r="Q283" i="1"/>
  <c r="T283" i="1" s="1"/>
  <c r="R284" i="1"/>
  <c r="U284" i="1" s="1"/>
  <c r="P287" i="1"/>
  <c r="U289" i="1"/>
  <c r="S284" i="1"/>
  <c r="S282" i="1" s="1"/>
  <c r="L305" i="1"/>
  <c r="O305" i="1" s="1"/>
  <c r="O308" i="1"/>
  <c r="N323" i="1"/>
  <c r="Q334" i="1"/>
  <c r="T334" i="1" s="1"/>
  <c r="Q358" i="1"/>
  <c r="T358" i="1" s="1"/>
  <c r="N357" i="1"/>
  <c r="Q393" i="1"/>
  <c r="T393" i="1" s="1"/>
  <c r="K492" i="1"/>
  <c r="N535" i="1"/>
  <c r="K554" i="1"/>
  <c r="P581" i="1"/>
  <c r="R605" i="1"/>
  <c r="U605" i="1" s="1"/>
  <c r="T732" i="1"/>
  <c r="Q729" i="1"/>
  <c r="T729" i="1" s="1"/>
  <c r="Q730" i="1"/>
  <c r="R730" i="2"/>
  <c r="R728" i="2" s="1"/>
  <c r="R731" i="2"/>
  <c r="U731" i="2" s="1"/>
  <c r="Q618" i="2"/>
  <c r="Q616" i="2" s="1"/>
  <c r="L578" i="2"/>
  <c r="L576" i="2" s="1"/>
  <c r="O576" i="2" s="1"/>
  <c r="L582" i="2"/>
  <c r="O582" i="2" s="1"/>
  <c r="J457" i="2"/>
  <c r="J456" i="2" s="1"/>
  <c r="J231" i="2"/>
  <c r="J185" i="2" s="1"/>
  <c r="M179" i="2"/>
  <c r="P179" i="2" s="1"/>
  <c r="P181" i="2"/>
  <c r="R381" i="1"/>
  <c r="U381" i="1" s="1"/>
  <c r="M495" i="2"/>
  <c r="P495" i="2" s="1"/>
  <c r="M496" i="2"/>
  <c r="P496" i="2" s="1"/>
  <c r="P494" i="2"/>
  <c r="O328" i="2"/>
  <c r="L326" i="2"/>
  <c r="O326" i="2" s="1"/>
  <c r="U45" i="2"/>
  <c r="R44" i="2"/>
  <c r="U44" i="2" s="1"/>
  <c r="M60" i="1"/>
  <c r="P66" i="1"/>
  <c r="N65" i="1"/>
  <c r="Q75" i="1"/>
  <c r="M74" i="1"/>
  <c r="S120" i="1"/>
  <c r="L123" i="1"/>
  <c r="O123" i="1" s="1"/>
  <c r="N163" i="1"/>
  <c r="K195" i="1"/>
  <c r="Q269" i="1"/>
  <c r="I281" i="1"/>
  <c r="K281" i="1" s="1"/>
  <c r="M376" i="1"/>
  <c r="P376" i="1" s="1"/>
  <c r="S381" i="1"/>
  <c r="Q494" i="1"/>
  <c r="T494" i="1" s="1"/>
  <c r="S495" i="1"/>
  <c r="L515" i="1"/>
  <c r="O515" i="1" s="1"/>
  <c r="M578" i="1"/>
  <c r="Q577" i="1"/>
  <c r="T577" i="1" s="1"/>
  <c r="S582" i="1"/>
  <c r="R601" i="1"/>
  <c r="U601" i="1" s="1"/>
  <c r="R696" i="1"/>
  <c r="U696" i="1" s="1"/>
  <c r="U697" i="1"/>
  <c r="S729" i="1"/>
  <c r="S734" i="1"/>
  <c r="O563" i="2"/>
  <c r="L561" i="2"/>
  <c r="O561" i="2" s="1"/>
  <c r="Q377" i="2"/>
  <c r="Q378" i="2"/>
  <c r="T378" i="2" s="1"/>
  <c r="T380" i="2"/>
  <c r="M188" i="2"/>
  <c r="M186" i="2" s="1"/>
  <c r="L65" i="2"/>
  <c r="O65" i="2" s="1"/>
  <c r="O67" i="2"/>
  <c r="M285" i="1"/>
  <c r="R321" i="1"/>
  <c r="U321" i="1" s="1"/>
  <c r="R378" i="1"/>
  <c r="L536" i="1"/>
  <c r="Q537" i="1"/>
  <c r="T537" i="1" s="1"/>
  <c r="U542" i="1"/>
  <c r="I319" i="2"/>
  <c r="K319" i="2" s="1"/>
  <c r="K330" i="2"/>
  <c r="M305" i="2"/>
  <c r="M303" i="2" s="1"/>
  <c r="P308" i="2"/>
  <c r="M306" i="2"/>
  <c r="P306" i="2" s="1"/>
  <c r="N62" i="2"/>
  <c r="P62" i="2" s="1"/>
  <c r="P64" i="2"/>
  <c r="Q60" i="1"/>
  <c r="T60" i="1" s="1"/>
  <c r="S75" i="1"/>
  <c r="P79" i="1"/>
  <c r="N74" i="1"/>
  <c r="M123" i="1"/>
  <c r="P123" i="1" s="1"/>
  <c r="U144" i="1"/>
  <c r="Q141" i="1"/>
  <c r="K138" i="1"/>
  <c r="Q158" i="1"/>
  <c r="T158" i="1" s="1"/>
  <c r="J199" i="1"/>
  <c r="K219" i="1"/>
  <c r="L267" i="1"/>
  <c r="T273" i="1"/>
  <c r="S285" i="1"/>
  <c r="K298" i="1"/>
  <c r="R304" i="1"/>
  <c r="U304" i="1" s="1"/>
  <c r="R305" i="1"/>
  <c r="M322" i="1"/>
  <c r="P322" i="1" s="1"/>
  <c r="L334" i="1"/>
  <c r="O334" i="1" s="1"/>
  <c r="T337" i="1"/>
  <c r="K346" i="1"/>
  <c r="Q357" i="1"/>
  <c r="Q359" i="1"/>
  <c r="T359" i="1" s="1"/>
  <c r="S358" i="1"/>
  <c r="O380" i="1"/>
  <c r="K386" i="1"/>
  <c r="J424" i="1"/>
  <c r="K424" i="1" s="1"/>
  <c r="R494" i="1"/>
  <c r="U494" i="1" s="1"/>
  <c r="M499" i="1"/>
  <c r="P499" i="1" s="1"/>
  <c r="P500" i="1"/>
  <c r="M514" i="1"/>
  <c r="P514" i="1" s="1"/>
  <c r="Q515" i="1"/>
  <c r="T515" i="1" s="1"/>
  <c r="S535" i="1"/>
  <c r="S558" i="1"/>
  <c r="L602" i="1"/>
  <c r="M717" i="1"/>
  <c r="P717" i="1" s="1"/>
  <c r="P718" i="1"/>
  <c r="M715" i="1"/>
  <c r="S720" i="1"/>
  <c r="U765" i="1"/>
  <c r="U768" i="1"/>
  <c r="R762" i="1"/>
  <c r="M97" i="2"/>
  <c r="P97" i="2" s="1"/>
  <c r="P99" i="2"/>
  <c r="N47" i="2"/>
  <c r="P47" i="2" s="1"/>
  <c r="P49" i="2"/>
  <c r="K630" i="1"/>
  <c r="K629" i="1"/>
  <c r="R691" i="1"/>
  <c r="U691" i="1" s="1"/>
  <c r="L691" i="1"/>
  <c r="O691" i="1" s="1"/>
  <c r="Q696" i="1"/>
  <c r="T696" i="1" s="1"/>
  <c r="S762" i="1"/>
  <c r="T762" i="1" s="1"/>
  <c r="K782" i="2"/>
  <c r="K779" i="2"/>
  <c r="R619" i="2"/>
  <c r="T607" i="2"/>
  <c r="T604" i="2"/>
  <c r="M601" i="2"/>
  <c r="P601" i="2" s="1"/>
  <c r="O560" i="2"/>
  <c r="S555" i="2"/>
  <c r="Q555" i="2"/>
  <c r="T555" i="2" s="1"/>
  <c r="S496" i="2"/>
  <c r="L305" i="2"/>
  <c r="L303" i="2" s="1"/>
  <c r="R306" i="2"/>
  <c r="K293" i="2"/>
  <c r="O287" i="2"/>
  <c r="T271" i="2"/>
  <c r="L268" i="2"/>
  <c r="L266" i="2" s="1"/>
  <c r="Q269" i="2"/>
  <c r="T269" i="2" s="1"/>
  <c r="I253" i="2"/>
  <c r="K253" i="2" s="1"/>
  <c r="R192" i="2"/>
  <c r="U192" i="2" s="1"/>
  <c r="L188" i="2"/>
  <c r="L186" i="2" s="1"/>
  <c r="T147" i="2"/>
  <c r="O144" i="2"/>
  <c r="T122" i="2"/>
  <c r="I82" i="2"/>
  <c r="K82" i="2" s="1"/>
  <c r="R75" i="2"/>
  <c r="U75" i="2" s="1"/>
  <c r="Q59" i="2"/>
  <c r="T59" i="2" s="1"/>
  <c r="O646" i="1"/>
  <c r="N729" i="1"/>
  <c r="S730" i="2"/>
  <c r="S728" i="2" s="1"/>
  <c r="N690" i="2"/>
  <c r="L601" i="2"/>
  <c r="O601" i="2" s="1"/>
  <c r="O581" i="2"/>
  <c r="N392" i="2"/>
  <c r="S333" i="2"/>
  <c r="Q320" i="2"/>
  <c r="T320" i="2" s="1"/>
  <c r="S268" i="2"/>
  <c r="S266" i="2" s="1"/>
  <c r="L243" i="2"/>
  <c r="O243" i="2" s="1"/>
  <c r="R188" i="2"/>
  <c r="U188" i="2" s="1"/>
  <c r="L61" i="2"/>
  <c r="L59" i="2" s="1"/>
  <c r="L46" i="2"/>
  <c r="L44" i="2" s="1"/>
  <c r="N601" i="1"/>
  <c r="N599" i="1" s="1"/>
  <c r="S600" i="1"/>
  <c r="M617" i="1"/>
  <c r="P617" i="1" s="1"/>
  <c r="J636" i="1"/>
  <c r="J635" i="1" s="1"/>
  <c r="R648" i="1"/>
  <c r="U648" i="1" s="1"/>
  <c r="K681" i="1"/>
  <c r="N692" i="1"/>
  <c r="M716" i="1"/>
  <c r="P716" i="1" s="1"/>
  <c r="R715" i="1"/>
  <c r="U715" i="1" s="1"/>
  <c r="M734" i="1"/>
  <c r="P734" i="1" s="1"/>
  <c r="K689" i="2"/>
  <c r="R616" i="2"/>
  <c r="R601" i="2"/>
  <c r="U601" i="2" s="1"/>
  <c r="N578" i="2"/>
  <c r="N576" i="2" s="1"/>
  <c r="M515" i="2"/>
  <c r="P515" i="2" s="1"/>
  <c r="L416" i="2"/>
  <c r="M377" i="2"/>
  <c r="P377" i="2" s="1"/>
  <c r="K280" i="2"/>
  <c r="Q188" i="2"/>
  <c r="T188" i="2" s="1"/>
  <c r="U122" i="2"/>
  <c r="L75" i="2"/>
  <c r="O75" i="2" s="1"/>
  <c r="J632" i="1"/>
  <c r="J626" i="1" s="1"/>
  <c r="J615" i="1" s="1"/>
  <c r="K615" i="1" s="1"/>
  <c r="K700" i="1"/>
  <c r="L715" i="1"/>
  <c r="O715" i="1" s="1"/>
  <c r="Q720" i="1"/>
  <c r="T720" i="1" s="1"/>
  <c r="N734" i="1"/>
  <c r="K770" i="1"/>
  <c r="N728" i="2"/>
  <c r="T621" i="2"/>
  <c r="Q601" i="2"/>
  <c r="T601" i="2" s="1"/>
  <c r="L557" i="2"/>
  <c r="O557" i="2" s="1"/>
  <c r="S534" i="2"/>
  <c r="K432" i="2"/>
  <c r="M415" i="2"/>
  <c r="M413" i="2" s="1"/>
  <c r="J332" i="2"/>
  <c r="K332" i="2" s="1"/>
  <c r="O285" i="2"/>
  <c r="K265" i="2"/>
  <c r="I238" i="2"/>
  <c r="K238" i="2" s="1"/>
  <c r="R175" i="2"/>
  <c r="U175" i="2" s="1"/>
  <c r="T120" i="2"/>
  <c r="L47" i="2"/>
  <c r="U647" i="1"/>
  <c r="J727" i="1"/>
  <c r="K727" i="1" s="1"/>
  <c r="Q766" i="1"/>
  <c r="T766" i="1" s="1"/>
  <c r="K785" i="2"/>
  <c r="S714" i="2"/>
  <c r="J702" i="2"/>
  <c r="O617" i="2"/>
  <c r="O607" i="2"/>
  <c r="L602" i="2"/>
  <c r="O602" i="2" s="1"/>
  <c r="Q495" i="2"/>
  <c r="T495" i="2" s="1"/>
  <c r="K441" i="2"/>
  <c r="P421" i="2"/>
  <c r="P418" i="2"/>
  <c r="U378" i="2"/>
  <c r="K368" i="2"/>
  <c r="J351" i="2"/>
  <c r="L335" i="2"/>
  <c r="L333" i="2" s="1"/>
  <c r="U308" i="2"/>
  <c r="U191" i="2"/>
  <c r="N175" i="2"/>
  <c r="N173" i="2" s="1"/>
  <c r="N159" i="2"/>
  <c r="N157" i="2" s="1"/>
  <c r="O147" i="2"/>
  <c r="P122" i="2"/>
  <c r="U77" i="2"/>
  <c r="O77" i="2"/>
  <c r="L62" i="2"/>
  <c r="N94" i="1"/>
  <c r="N60" i="1"/>
  <c r="M395" i="1"/>
  <c r="P395" i="1" s="1"/>
  <c r="P396" i="1"/>
  <c r="Q558" i="1"/>
  <c r="T558" i="1" s="1"/>
  <c r="T559" i="1"/>
  <c r="M690" i="2"/>
  <c r="P690" i="2" s="1"/>
  <c r="P691" i="2"/>
  <c r="N419" i="2"/>
  <c r="N415" i="2"/>
  <c r="N413" i="2" s="1"/>
  <c r="M62" i="1"/>
  <c r="U63" i="1"/>
  <c r="R62" i="1"/>
  <c r="U62" i="1" s="1"/>
  <c r="N73" i="1"/>
  <c r="M75" i="1"/>
  <c r="O76" i="1"/>
  <c r="R75" i="1"/>
  <c r="P80" i="1"/>
  <c r="J83" i="1"/>
  <c r="K86" i="1"/>
  <c r="K89" i="1"/>
  <c r="K93" i="1"/>
  <c r="Q97" i="1"/>
  <c r="S95" i="1"/>
  <c r="N100" i="1"/>
  <c r="K113" i="1"/>
  <c r="L118" i="1"/>
  <c r="O118" i="1" s="1"/>
  <c r="R118" i="1"/>
  <c r="U118" i="1" s="1"/>
  <c r="L141" i="1"/>
  <c r="T147" i="1"/>
  <c r="M158" i="1"/>
  <c r="M163" i="1"/>
  <c r="P163" i="1" s="1"/>
  <c r="N175" i="1"/>
  <c r="O175" i="1" s="1"/>
  <c r="M187" i="1"/>
  <c r="P187" i="1" s="1"/>
  <c r="L268" i="1"/>
  <c r="T271" i="1"/>
  <c r="K314" i="1"/>
  <c r="I302" i="1"/>
  <c r="K302" i="1" s="1"/>
  <c r="M393" i="1"/>
  <c r="P393" i="1" s="1"/>
  <c r="I475" i="1"/>
  <c r="T541" i="1"/>
  <c r="Q540" i="1"/>
  <c r="T540" i="1" s="1"/>
  <c r="K544" i="1"/>
  <c r="I533" i="1"/>
  <c r="K533" i="1" s="1"/>
  <c r="S644" i="1"/>
  <c r="S645" i="1"/>
  <c r="R644" i="2"/>
  <c r="U647" i="2"/>
  <c r="R645" i="2"/>
  <c r="U556" i="2"/>
  <c r="R555" i="2"/>
  <c r="U555" i="2" s="1"/>
  <c r="L496" i="1"/>
  <c r="O497" i="1"/>
  <c r="O698" i="1"/>
  <c r="L696" i="1"/>
  <c r="O696" i="1" s="1"/>
  <c r="M46" i="1"/>
  <c r="M44" i="1" s="1"/>
  <c r="P49" i="1"/>
  <c r="L62" i="1"/>
  <c r="L75" i="1"/>
  <c r="Q78" i="1"/>
  <c r="T78" i="1" s="1"/>
  <c r="L22" i="1"/>
  <c r="K213" i="1"/>
  <c r="J185" i="1"/>
  <c r="P271" i="1"/>
  <c r="Q306" i="1"/>
  <c r="S334" i="1"/>
  <c r="S336" i="1"/>
  <c r="P341" i="1"/>
  <c r="M335" i="1"/>
  <c r="T379" i="1"/>
  <c r="Q376" i="1"/>
  <c r="T376" i="1" s="1"/>
  <c r="T562" i="1"/>
  <c r="Q561" i="1"/>
  <c r="T561" i="1" s="1"/>
  <c r="K587" i="1"/>
  <c r="S691" i="1"/>
  <c r="S693" i="1"/>
  <c r="M96" i="1"/>
  <c r="P96" i="1" s="1"/>
  <c r="N119" i="1"/>
  <c r="N117" i="1" s="1"/>
  <c r="L188" i="1"/>
  <c r="R26" i="1"/>
  <c r="Q65" i="1"/>
  <c r="T65" i="1" s="1"/>
  <c r="L23" i="1"/>
  <c r="N61" i="1"/>
  <c r="R65" i="1"/>
  <c r="U65" i="1" s="1"/>
  <c r="U79" i="1"/>
  <c r="R78" i="1"/>
  <c r="U78" i="1" s="1"/>
  <c r="J82" i="1"/>
  <c r="J70" i="1" s="1"/>
  <c r="K87" i="1"/>
  <c r="K90" i="1"/>
  <c r="R96" i="1"/>
  <c r="M95" i="1"/>
  <c r="P95" i="1" s="1"/>
  <c r="P99" i="1"/>
  <c r="K108" i="1"/>
  <c r="K114" i="1"/>
  <c r="R120" i="1"/>
  <c r="P125" i="1"/>
  <c r="R141" i="1"/>
  <c r="P144" i="1"/>
  <c r="P146" i="1"/>
  <c r="N145" i="1"/>
  <c r="M160" i="1"/>
  <c r="K167" i="1"/>
  <c r="N174" i="1"/>
  <c r="U178" i="1"/>
  <c r="S272" i="1"/>
  <c r="K276" i="1"/>
  <c r="L285" i="1"/>
  <c r="R285" i="1"/>
  <c r="U285" i="1" s="1"/>
  <c r="Q309" i="1"/>
  <c r="T309" i="1" s="1"/>
  <c r="T311" i="1"/>
  <c r="U380" i="1"/>
  <c r="O417" i="1"/>
  <c r="L416" i="1"/>
  <c r="N495" i="1"/>
  <c r="N496" i="1"/>
  <c r="U518" i="1"/>
  <c r="R515" i="1"/>
  <c r="U515" i="1" s="1"/>
  <c r="U580" i="1"/>
  <c r="R579" i="1"/>
  <c r="U579" i="1" s="1"/>
  <c r="Q618" i="1"/>
  <c r="T624" i="1"/>
  <c r="P647" i="1"/>
  <c r="M644" i="1"/>
  <c r="P644" i="1" s="1"/>
  <c r="N715" i="1"/>
  <c r="N714" i="1" s="1"/>
  <c r="N717" i="1"/>
  <c r="S717" i="1"/>
  <c r="S716" i="1"/>
  <c r="Q762" i="2"/>
  <c r="T765" i="2"/>
  <c r="Q763" i="2"/>
  <c r="R714" i="2"/>
  <c r="U714" i="2" s="1"/>
  <c r="U715" i="2"/>
  <c r="J674" i="2"/>
  <c r="K674" i="2" s="1"/>
  <c r="K676" i="2"/>
  <c r="P327" i="1"/>
  <c r="M326" i="1"/>
  <c r="P326" i="1" s="1"/>
  <c r="M321" i="1"/>
  <c r="M378" i="1"/>
  <c r="P380" i="1"/>
  <c r="M377" i="1"/>
  <c r="Q23" i="1"/>
  <c r="L60" i="1"/>
  <c r="O60" i="1" s="1"/>
  <c r="L65" i="1"/>
  <c r="L78" i="1"/>
  <c r="O78" i="1" s="1"/>
  <c r="N97" i="1"/>
  <c r="S25" i="1"/>
  <c r="L120" i="1"/>
  <c r="O120" i="1" s="1"/>
  <c r="N142" i="1"/>
  <c r="S26" i="1"/>
  <c r="R187" i="1"/>
  <c r="U187" i="1" s="1"/>
  <c r="S269" i="1"/>
  <c r="S326" i="1"/>
  <c r="S321" i="1"/>
  <c r="M334" i="1"/>
  <c r="P337" i="1"/>
  <c r="M336" i="1"/>
  <c r="S377" i="1"/>
  <c r="S375" i="1" s="1"/>
  <c r="S378" i="1"/>
  <c r="U400" i="1"/>
  <c r="R394" i="1"/>
  <c r="U394" i="1" s="1"/>
  <c r="L494" i="1"/>
  <c r="O494" i="1" s="1"/>
  <c r="S499" i="1"/>
  <c r="P539" i="1"/>
  <c r="M536" i="1"/>
  <c r="Q556" i="1"/>
  <c r="T556" i="1" s="1"/>
  <c r="R578" i="1"/>
  <c r="U578" i="1" s="1"/>
  <c r="U584" i="1"/>
  <c r="R582" i="1"/>
  <c r="U582" i="1" s="1"/>
  <c r="R602" i="1"/>
  <c r="U602" i="1" s="1"/>
  <c r="U603" i="1"/>
  <c r="R600" i="1"/>
  <c r="P606" i="1"/>
  <c r="M605" i="1"/>
  <c r="P605" i="1" s="1"/>
  <c r="T646" i="1"/>
  <c r="Q643" i="1"/>
  <c r="T643" i="1" s="1"/>
  <c r="S648" i="1"/>
  <c r="S643" i="1"/>
  <c r="P694" i="1"/>
  <c r="M691" i="1"/>
  <c r="M693" i="1"/>
  <c r="P693" i="1" s="1"/>
  <c r="S601" i="2"/>
  <c r="S599" i="2" s="1"/>
  <c r="R140" i="1"/>
  <c r="U140" i="1" s="1"/>
  <c r="N362" i="1"/>
  <c r="M730" i="1"/>
  <c r="P730" i="1" s="1"/>
  <c r="M731" i="1"/>
  <c r="P731" i="1" s="1"/>
  <c r="P733" i="1"/>
  <c r="N25" i="1"/>
  <c r="L25" i="1"/>
  <c r="O25" i="1" s="1"/>
  <c r="K109" i="1"/>
  <c r="M119" i="1"/>
  <c r="R123" i="1"/>
  <c r="Q140" i="1"/>
  <c r="S158" i="1"/>
  <c r="R163" i="1"/>
  <c r="U163" i="1" s="1"/>
  <c r="K168" i="1"/>
  <c r="P178" i="1"/>
  <c r="O196" i="1"/>
  <c r="K198" i="1"/>
  <c r="K220" i="1"/>
  <c r="Q267" i="1"/>
  <c r="L283" i="1"/>
  <c r="O283" i="1" s="1"/>
  <c r="Q305" i="1"/>
  <c r="O382" i="1"/>
  <c r="L381" i="1"/>
  <c r="O381" i="1" s="1"/>
  <c r="O397" i="1"/>
  <c r="L394" i="1"/>
  <c r="O394" i="1" s="1"/>
  <c r="Q535" i="1"/>
  <c r="L578" i="1"/>
  <c r="O584" i="1"/>
  <c r="L643" i="1"/>
  <c r="O649" i="1"/>
  <c r="L648" i="1"/>
  <c r="O648" i="1" s="1"/>
  <c r="T764" i="1"/>
  <c r="Q763" i="1"/>
  <c r="Q761" i="1"/>
  <c r="T761" i="1" s="1"/>
  <c r="L519" i="2"/>
  <c r="O519" i="2" s="1"/>
  <c r="O521" i="2"/>
  <c r="M288" i="1"/>
  <c r="P288" i="1" s="1"/>
  <c r="Q322" i="1"/>
  <c r="T322" i="1" s="1"/>
  <c r="K371" i="1"/>
  <c r="T417" i="1"/>
  <c r="J468" i="1"/>
  <c r="J485" i="1"/>
  <c r="K485" i="1" s="1"/>
  <c r="P498" i="1"/>
  <c r="K505" i="1"/>
  <c r="S514" i="1"/>
  <c r="S513" i="1" s="1"/>
  <c r="N536" i="1"/>
  <c r="S557" i="1"/>
  <c r="P560" i="1"/>
  <c r="M561" i="1"/>
  <c r="I575" i="1"/>
  <c r="K575" i="1" s="1"/>
  <c r="M582" i="1"/>
  <c r="P582" i="1" s="1"/>
  <c r="M601" i="1"/>
  <c r="L605" i="1"/>
  <c r="O605" i="1" s="1"/>
  <c r="N605" i="1"/>
  <c r="S619" i="1"/>
  <c r="N643" i="1"/>
  <c r="R644" i="1"/>
  <c r="J661" i="1"/>
  <c r="K661" i="1" s="1"/>
  <c r="L693" i="1"/>
  <c r="O693" i="1" s="1"/>
  <c r="P698" i="1"/>
  <c r="M696" i="1"/>
  <c r="P696" i="1" s="1"/>
  <c r="R734" i="1"/>
  <c r="U734" i="1" s="1"/>
  <c r="U764" i="1"/>
  <c r="R761" i="1"/>
  <c r="U761" i="1" s="1"/>
  <c r="M760" i="2"/>
  <c r="P760" i="2" s="1"/>
  <c r="P761" i="2"/>
  <c r="Q731" i="2"/>
  <c r="T731" i="2" s="1"/>
  <c r="Q730" i="2"/>
  <c r="Q728" i="2" s="1"/>
  <c r="T733" i="2"/>
  <c r="P730" i="2"/>
  <c r="M728" i="2"/>
  <c r="P728" i="2" s="1"/>
  <c r="K727" i="2"/>
  <c r="Q714" i="2"/>
  <c r="T714" i="2" s="1"/>
  <c r="T715" i="2"/>
  <c r="N601" i="2"/>
  <c r="N599" i="2" s="1"/>
  <c r="M540" i="2"/>
  <c r="P540" i="2" s="1"/>
  <c r="P542" i="2"/>
  <c r="Q534" i="2"/>
  <c r="T534" i="2" s="1"/>
  <c r="T535" i="2"/>
  <c r="K506" i="2"/>
  <c r="J503" i="2"/>
  <c r="J492" i="2" s="1"/>
  <c r="Q323" i="1"/>
  <c r="T323" i="1" s="1"/>
  <c r="O337" i="1"/>
  <c r="U337" i="1"/>
  <c r="N381" i="1"/>
  <c r="U382" i="1"/>
  <c r="N395" i="1"/>
  <c r="J432" i="1"/>
  <c r="K432" i="1" s="1"/>
  <c r="M496" i="1"/>
  <c r="T497" i="1"/>
  <c r="K506" i="1"/>
  <c r="M516" i="1"/>
  <c r="P516" i="1" s="1"/>
  <c r="S540" i="1"/>
  <c r="L557" i="1"/>
  <c r="O560" i="1"/>
  <c r="T580" i="1"/>
  <c r="Q600" i="1"/>
  <c r="T603" i="1"/>
  <c r="S622" i="1"/>
  <c r="L644" i="1"/>
  <c r="O644" i="1" s="1"/>
  <c r="N648" i="1"/>
  <c r="K653" i="1"/>
  <c r="O694" i="1"/>
  <c r="U695" i="1"/>
  <c r="Q715" i="1"/>
  <c r="T715" i="1" s="1"/>
  <c r="K742" i="1"/>
  <c r="K779" i="1"/>
  <c r="K785" i="1"/>
  <c r="I758" i="2"/>
  <c r="K758" i="2" s="1"/>
  <c r="K772" i="2"/>
  <c r="L760" i="2"/>
  <c r="O760" i="2" s="1"/>
  <c r="O761" i="2"/>
  <c r="L728" i="2"/>
  <c r="O728" i="2" s="1"/>
  <c r="O729" i="2"/>
  <c r="N714" i="2"/>
  <c r="S693" i="2"/>
  <c r="U693" i="2" s="1"/>
  <c r="T695" i="2"/>
  <c r="S692" i="2"/>
  <c r="S690" i="2" s="1"/>
  <c r="S619" i="2"/>
  <c r="T619" i="2" s="1"/>
  <c r="O600" i="2"/>
  <c r="N579" i="2"/>
  <c r="M392" i="2"/>
  <c r="P392" i="2" s="1"/>
  <c r="L304" i="1"/>
  <c r="O304" i="1" s="1"/>
  <c r="J351" i="1"/>
  <c r="Q362" i="1"/>
  <c r="T362" i="1" s="1"/>
  <c r="S362" i="1"/>
  <c r="R376" i="1"/>
  <c r="M381" i="1"/>
  <c r="P381" i="1" s="1"/>
  <c r="N414" i="1"/>
  <c r="N413" i="1" s="1"/>
  <c r="M416" i="1"/>
  <c r="Q419" i="1"/>
  <c r="T419" i="1" s="1"/>
  <c r="J433" i="1"/>
  <c r="K433" i="1" s="1"/>
  <c r="N602" i="1"/>
  <c r="K631" i="1"/>
  <c r="K678" i="1"/>
  <c r="O695" i="1"/>
  <c r="L692" i="1"/>
  <c r="O692" i="1" s="1"/>
  <c r="L729" i="1"/>
  <c r="O729" i="1" s="1"/>
  <c r="R731" i="1"/>
  <c r="U732" i="1"/>
  <c r="P716" i="2"/>
  <c r="M714" i="2"/>
  <c r="P714" i="2" s="1"/>
  <c r="R692" i="2"/>
  <c r="U695" i="2"/>
  <c r="M642" i="2"/>
  <c r="P642" i="2" s="1"/>
  <c r="P643" i="2"/>
  <c r="P581" i="2"/>
  <c r="M578" i="2"/>
  <c r="M579" i="2"/>
  <c r="P579" i="2" s="1"/>
  <c r="M536" i="2"/>
  <c r="L516" i="2"/>
  <c r="O516" i="2" s="1"/>
  <c r="L515" i="2"/>
  <c r="P321" i="2"/>
  <c r="L288" i="1"/>
  <c r="O288" i="1" s="1"/>
  <c r="K319" i="1"/>
  <c r="M339" i="1"/>
  <c r="P339" i="1" s="1"/>
  <c r="K368" i="1"/>
  <c r="L376" i="1"/>
  <c r="N378" i="1"/>
  <c r="O378" i="1" s="1"/>
  <c r="S393" i="1"/>
  <c r="N398" i="1"/>
  <c r="R416" i="1"/>
  <c r="O498" i="1"/>
  <c r="K504" i="1"/>
  <c r="N516" i="1"/>
  <c r="S537" i="1"/>
  <c r="P542" i="1"/>
  <c r="N557" i="1"/>
  <c r="M558" i="1"/>
  <c r="N579" i="1"/>
  <c r="U761" i="2"/>
  <c r="U729" i="2"/>
  <c r="L714" i="2"/>
  <c r="O714" i="2" s="1"/>
  <c r="O715" i="2"/>
  <c r="P607" i="2"/>
  <c r="M605" i="2"/>
  <c r="P605" i="2" s="1"/>
  <c r="U600" i="2"/>
  <c r="M537" i="2"/>
  <c r="P537" i="2" s="1"/>
  <c r="O498" i="2"/>
  <c r="L496" i="2"/>
  <c r="O496" i="2" s="1"/>
  <c r="L495" i="2"/>
  <c r="O495" i="2" s="1"/>
  <c r="K423" i="2"/>
  <c r="I412" i="2"/>
  <c r="K412" i="2" s="1"/>
  <c r="P283" i="2"/>
  <c r="N192" i="2"/>
  <c r="N188" i="2"/>
  <c r="L306" i="1"/>
  <c r="K365" i="1"/>
  <c r="N622" i="1"/>
  <c r="M645" i="1"/>
  <c r="P645" i="1" s="1"/>
  <c r="K709" i="1"/>
  <c r="R729" i="1"/>
  <c r="U729" i="1" s="1"/>
  <c r="O767" i="1"/>
  <c r="L761" i="1"/>
  <c r="O761" i="1" s="1"/>
  <c r="O768" i="1"/>
  <c r="L762" i="1"/>
  <c r="O762" i="1" s="1"/>
  <c r="R763" i="2"/>
  <c r="R762" i="2"/>
  <c r="U765" i="2"/>
  <c r="T729" i="2"/>
  <c r="S645" i="2"/>
  <c r="T645" i="2" s="1"/>
  <c r="T647" i="2"/>
  <c r="S644" i="2"/>
  <c r="U621" i="2"/>
  <c r="S618" i="2"/>
  <c r="S616" i="2" s="1"/>
  <c r="P604" i="2"/>
  <c r="M602" i="2"/>
  <c r="P602" i="2" s="1"/>
  <c r="T600" i="2"/>
  <c r="M558" i="2"/>
  <c r="P558" i="2" s="1"/>
  <c r="M557" i="2"/>
  <c r="P557" i="2" s="1"/>
  <c r="P560" i="2"/>
  <c r="O539" i="2"/>
  <c r="L536" i="2"/>
  <c r="L537" i="2"/>
  <c r="O537" i="2" s="1"/>
  <c r="Q356" i="2"/>
  <c r="T356" i="2" s="1"/>
  <c r="T357" i="2"/>
  <c r="J343" i="2"/>
  <c r="O283" i="2"/>
  <c r="K242" i="2"/>
  <c r="M175" i="2"/>
  <c r="M176" i="2"/>
  <c r="P176" i="2" s="1"/>
  <c r="P178" i="2"/>
  <c r="M729" i="1"/>
  <c r="N766" i="1"/>
  <c r="K783" i="1"/>
  <c r="I759" i="2"/>
  <c r="K759" i="2" s="1"/>
  <c r="U733" i="2"/>
  <c r="K707" i="2"/>
  <c r="K630" i="2"/>
  <c r="K626" i="2"/>
  <c r="P600" i="2"/>
  <c r="O584" i="2"/>
  <c r="Q576" i="2"/>
  <c r="T576" i="2" s="1"/>
  <c r="P563" i="2"/>
  <c r="N557" i="2"/>
  <c r="N555" i="2" s="1"/>
  <c r="U498" i="2"/>
  <c r="R496" i="2"/>
  <c r="U496" i="2" s="1"/>
  <c r="O418" i="2"/>
  <c r="N416" i="2"/>
  <c r="S394" i="2"/>
  <c r="S392" i="2" s="1"/>
  <c r="P383" i="2"/>
  <c r="N322" i="2"/>
  <c r="N320" i="2" s="1"/>
  <c r="P187" i="2"/>
  <c r="O158" i="2"/>
  <c r="N731" i="1"/>
  <c r="Q731" i="1"/>
  <c r="K740" i="1"/>
  <c r="K744" i="1"/>
  <c r="T765" i="1"/>
  <c r="K629" i="2"/>
  <c r="P556" i="2"/>
  <c r="P325" i="2"/>
  <c r="M323" i="2"/>
  <c r="P323" i="2" s="1"/>
  <c r="M322" i="2"/>
  <c r="P322" i="2" s="1"/>
  <c r="P287" i="2"/>
  <c r="M285" i="2"/>
  <c r="P285" i="2" s="1"/>
  <c r="Q717" i="1"/>
  <c r="T717" i="1" s="1"/>
  <c r="N760" i="1"/>
  <c r="I615" i="2"/>
  <c r="K615" i="2" s="1"/>
  <c r="R534" i="2"/>
  <c r="U534" i="2" s="1"/>
  <c r="K440" i="2"/>
  <c r="U418" i="2"/>
  <c r="S416" i="2"/>
  <c r="S415" i="2"/>
  <c r="T415" i="2" s="1"/>
  <c r="R413" i="2"/>
  <c r="N359" i="2"/>
  <c r="N358" i="2"/>
  <c r="N356" i="2" s="1"/>
  <c r="T308" i="2"/>
  <c r="Q305" i="2"/>
  <c r="Q306" i="2"/>
  <c r="O118" i="2"/>
  <c r="N691" i="1"/>
  <c r="J701" i="1"/>
  <c r="N763" i="1"/>
  <c r="S766" i="1"/>
  <c r="R576" i="2"/>
  <c r="U576" i="2" s="1"/>
  <c r="N536" i="2"/>
  <c r="N534" i="2" s="1"/>
  <c r="P521" i="2"/>
  <c r="M519" i="2"/>
  <c r="P519" i="2" s="1"/>
  <c r="N515" i="2"/>
  <c r="N513" i="2" s="1"/>
  <c r="O501" i="2"/>
  <c r="L499" i="2"/>
  <c r="O499" i="2" s="1"/>
  <c r="R493" i="2"/>
  <c r="U493" i="2" s="1"/>
  <c r="Q413" i="2"/>
  <c r="Q395" i="2"/>
  <c r="T395" i="2" s="1"/>
  <c r="Q394" i="2"/>
  <c r="T394" i="2" s="1"/>
  <c r="T397" i="2"/>
  <c r="J365" i="2"/>
  <c r="K365" i="2" s="1"/>
  <c r="K371" i="2"/>
  <c r="R356" i="2"/>
  <c r="U356" i="2" s="1"/>
  <c r="U357" i="2"/>
  <c r="O334" i="2"/>
  <c r="U271" i="2"/>
  <c r="R269" i="2"/>
  <c r="U269" i="2" s="1"/>
  <c r="R268" i="2"/>
  <c r="L222" i="2"/>
  <c r="O222" i="2" s="1"/>
  <c r="U118" i="2"/>
  <c r="P498" i="2"/>
  <c r="T494" i="2"/>
  <c r="I456" i="2"/>
  <c r="K456" i="2" s="1"/>
  <c r="P414" i="2"/>
  <c r="U397" i="2"/>
  <c r="P393" i="2"/>
  <c r="K386" i="2"/>
  <c r="I374" i="2"/>
  <c r="R377" i="2"/>
  <c r="P361" i="2"/>
  <c r="M359" i="2"/>
  <c r="P338" i="2"/>
  <c r="O321" i="2"/>
  <c r="O306" i="2"/>
  <c r="S282" i="2"/>
  <c r="P274" i="2"/>
  <c r="M272" i="2"/>
  <c r="P272" i="2" s="1"/>
  <c r="L203" i="2"/>
  <c r="O203" i="2" s="1"/>
  <c r="P194" i="2"/>
  <c r="M192" i="2"/>
  <c r="P192" i="2" s="1"/>
  <c r="O187" i="2"/>
  <c r="K172" i="2"/>
  <c r="S19" i="2"/>
  <c r="K503" i="2"/>
  <c r="O361" i="2"/>
  <c r="L359" i="2"/>
  <c r="M358" i="2"/>
  <c r="O338" i="2"/>
  <c r="O336" i="2"/>
  <c r="S320" i="2"/>
  <c r="R282" i="2"/>
  <c r="U282" i="2" s="1"/>
  <c r="U283" i="2"/>
  <c r="Q282" i="2"/>
  <c r="T282" i="2" s="1"/>
  <c r="K276" i="2"/>
  <c r="O274" i="2"/>
  <c r="L272" i="2"/>
  <c r="O272" i="2" s="1"/>
  <c r="P271" i="2"/>
  <c r="M269" i="2"/>
  <c r="O267" i="2"/>
  <c r="L254" i="2"/>
  <c r="K249" i="2"/>
  <c r="L233" i="2"/>
  <c r="P191" i="2"/>
  <c r="M189" i="2"/>
  <c r="P189" i="2" s="1"/>
  <c r="R320" i="2"/>
  <c r="U320" i="2" s="1"/>
  <c r="U321" i="2"/>
  <c r="O271" i="2"/>
  <c r="L269" i="2"/>
  <c r="U267" i="2"/>
  <c r="U187" i="2"/>
  <c r="O174" i="2"/>
  <c r="N120" i="2"/>
  <c r="N119" i="2"/>
  <c r="N117" i="2" s="1"/>
  <c r="U95" i="2"/>
  <c r="P67" i="2"/>
  <c r="M65" i="2"/>
  <c r="P65" i="2" s="1"/>
  <c r="O357" i="2"/>
  <c r="O341" i="2"/>
  <c r="L339" i="2"/>
  <c r="O339" i="2" s="1"/>
  <c r="M339" i="2"/>
  <c r="P339" i="2" s="1"/>
  <c r="N335" i="2"/>
  <c r="N333" i="2" s="1"/>
  <c r="P334" i="2"/>
  <c r="Q266" i="2"/>
  <c r="T267" i="2"/>
  <c r="S188" i="2"/>
  <c r="S186" i="2" s="1"/>
  <c r="U174" i="2"/>
  <c r="N97" i="2"/>
  <c r="N96" i="2"/>
  <c r="N94" i="2" s="1"/>
  <c r="M335" i="2"/>
  <c r="M333" i="2" s="1"/>
  <c r="L322" i="2"/>
  <c r="O322" i="2" s="1"/>
  <c r="K314" i="2"/>
  <c r="N305" i="2"/>
  <c r="L284" i="2"/>
  <c r="O178" i="2"/>
  <c r="U158" i="2"/>
  <c r="P140" i="2"/>
  <c r="R26" i="2"/>
  <c r="U26" i="2" s="1"/>
  <c r="N26" i="2"/>
  <c r="N24" i="2" s="1"/>
  <c r="Q26" i="2"/>
  <c r="P52" i="2"/>
  <c r="M26" i="2"/>
  <c r="P26" i="2" s="1"/>
  <c r="M50" i="2"/>
  <c r="P50" i="2" s="1"/>
  <c r="P22" i="2"/>
  <c r="M19" i="2"/>
  <c r="Q176" i="2"/>
  <c r="T176" i="2" s="1"/>
  <c r="Q175" i="2"/>
  <c r="T175" i="2" s="1"/>
  <c r="R176" i="2"/>
  <c r="U176" i="2" s="1"/>
  <c r="L175" i="2"/>
  <c r="O95" i="2"/>
  <c r="L26" i="2"/>
  <c r="O26" i="2" s="1"/>
  <c r="P25" i="2"/>
  <c r="S159" i="2"/>
  <c r="S157" i="2" s="1"/>
  <c r="M159" i="2"/>
  <c r="N141" i="2"/>
  <c r="N139" i="2" s="1"/>
  <c r="S119" i="2"/>
  <c r="S117" i="2" s="1"/>
  <c r="M119" i="2"/>
  <c r="I116" i="2"/>
  <c r="K116" i="2" s="1"/>
  <c r="S96" i="2"/>
  <c r="S94" i="2" s="1"/>
  <c r="M96" i="2"/>
  <c r="U80" i="2"/>
  <c r="O64" i="2"/>
  <c r="N50" i="2"/>
  <c r="O49" i="2"/>
  <c r="N23" i="2"/>
  <c r="R19" i="2"/>
  <c r="L19" i="2"/>
  <c r="R159" i="2"/>
  <c r="U159" i="2" s="1"/>
  <c r="L159" i="2"/>
  <c r="O159" i="2" s="1"/>
  <c r="S141" i="2"/>
  <c r="S139" i="2" s="1"/>
  <c r="M141" i="2"/>
  <c r="P141" i="2" s="1"/>
  <c r="R119" i="2"/>
  <c r="L119" i="2"/>
  <c r="O119" i="2" s="1"/>
  <c r="R96" i="2"/>
  <c r="U96" i="2" s="1"/>
  <c r="L96" i="2"/>
  <c r="O96" i="2" s="1"/>
  <c r="N74" i="2"/>
  <c r="N72" i="2" s="1"/>
  <c r="N61" i="2"/>
  <c r="N59" i="2" s="1"/>
  <c r="N46" i="2"/>
  <c r="S26" i="2"/>
  <c r="S24" i="2" s="1"/>
  <c r="S23" i="2"/>
  <c r="S21" i="2" s="1"/>
  <c r="M23" i="2"/>
  <c r="M21" i="2" s="1"/>
  <c r="Q19" i="2"/>
  <c r="M163" i="2"/>
  <c r="P163" i="2" s="1"/>
  <c r="M160" i="2"/>
  <c r="P160" i="2" s="1"/>
  <c r="Q159" i="2"/>
  <c r="T159" i="2" s="1"/>
  <c r="R141" i="2"/>
  <c r="U141" i="2" s="1"/>
  <c r="L141" i="2"/>
  <c r="O141" i="2" s="1"/>
  <c r="M123" i="2"/>
  <c r="P123" i="2" s="1"/>
  <c r="Q119" i="2"/>
  <c r="Q96" i="2"/>
  <c r="T96" i="2" s="1"/>
  <c r="K85" i="2"/>
  <c r="S74" i="2"/>
  <c r="S72" i="2" s="1"/>
  <c r="M74" i="2"/>
  <c r="P74" i="2" s="1"/>
  <c r="M61" i="2"/>
  <c r="L50" i="2"/>
  <c r="O50" i="2" s="1"/>
  <c r="M46" i="2"/>
  <c r="R23" i="2"/>
  <c r="R21" i="2" s="1"/>
  <c r="L23" i="2"/>
  <c r="L21" i="2" s="1"/>
  <c r="L163" i="2"/>
  <c r="O163" i="2" s="1"/>
  <c r="R160" i="2"/>
  <c r="U160" i="2" s="1"/>
  <c r="L160" i="2"/>
  <c r="O160" i="2" s="1"/>
  <c r="T158" i="2"/>
  <c r="M145" i="2"/>
  <c r="P145" i="2" s="1"/>
  <c r="M142" i="2"/>
  <c r="P142" i="2" s="1"/>
  <c r="R123" i="2"/>
  <c r="U123" i="2" s="1"/>
  <c r="L123" i="2"/>
  <c r="O123" i="2" s="1"/>
  <c r="R120" i="2"/>
  <c r="U120" i="2" s="1"/>
  <c r="L120" i="2"/>
  <c r="O120" i="2" s="1"/>
  <c r="L100" i="2"/>
  <c r="O100" i="2" s="1"/>
  <c r="R97" i="2"/>
  <c r="U97" i="2" s="1"/>
  <c r="L97" i="2"/>
  <c r="O97" i="2" s="1"/>
  <c r="P45" i="2"/>
  <c r="Q23" i="2"/>
  <c r="U174" i="1"/>
  <c r="R173" i="1"/>
  <c r="T61" i="1"/>
  <c r="R95" i="1"/>
  <c r="L140" i="1"/>
  <c r="O180" i="1"/>
  <c r="L179" i="1"/>
  <c r="O179" i="1" s="1"/>
  <c r="U719" i="1"/>
  <c r="R716" i="1"/>
  <c r="K127" i="1"/>
  <c r="M140" i="1"/>
  <c r="S140" i="1"/>
  <c r="O144" i="1"/>
  <c r="T174" i="1"/>
  <c r="Q173" i="1"/>
  <c r="S176" i="1"/>
  <c r="T193" i="1"/>
  <c r="Q192" i="1"/>
  <c r="T192" i="1" s="1"/>
  <c r="S267" i="1"/>
  <c r="S266" i="1" s="1"/>
  <c r="I280" i="1"/>
  <c r="K280" i="1" s="1"/>
  <c r="K293" i="1"/>
  <c r="N306" i="1"/>
  <c r="N304" i="1"/>
  <c r="N303" i="1" s="1"/>
  <c r="T396" i="1"/>
  <c r="Q395" i="1"/>
  <c r="T395" i="1" s="1"/>
  <c r="T501" i="1"/>
  <c r="Q495" i="1"/>
  <c r="Q22" i="1"/>
  <c r="M23" i="1"/>
  <c r="S23" i="1"/>
  <c r="Q25" i="1"/>
  <c r="M26" i="1"/>
  <c r="L97" i="1"/>
  <c r="R97" i="1"/>
  <c r="L100" i="1"/>
  <c r="O100" i="1" s="1"/>
  <c r="R100" i="1"/>
  <c r="U100" i="1" s="1"/>
  <c r="L142" i="1"/>
  <c r="R142" i="1"/>
  <c r="U142" i="1" s="1"/>
  <c r="O147" i="1"/>
  <c r="R159" i="1"/>
  <c r="U159" i="1" s="1"/>
  <c r="U161" i="1"/>
  <c r="O177" i="1"/>
  <c r="L176" i="1"/>
  <c r="T178" i="1"/>
  <c r="T190" i="1"/>
  <c r="Q189" i="1"/>
  <c r="T189" i="1" s="1"/>
  <c r="I221" i="1"/>
  <c r="K221" i="1" s="1"/>
  <c r="K229" i="1"/>
  <c r="O270" i="1"/>
  <c r="L269" i="1"/>
  <c r="O273" i="1"/>
  <c r="L272" i="1"/>
  <c r="O272" i="1" s="1"/>
  <c r="L284" i="1"/>
  <c r="R288" i="1"/>
  <c r="U288" i="1" s="1"/>
  <c r="U290" i="1"/>
  <c r="R326" i="1"/>
  <c r="U326" i="1" s="1"/>
  <c r="U328" i="1"/>
  <c r="U396" i="1"/>
  <c r="R395" i="1"/>
  <c r="U395" i="1" s="1"/>
  <c r="R393" i="1"/>
  <c r="Q74" i="1"/>
  <c r="O399" i="1"/>
  <c r="L398" i="1"/>
  <c r="O398" i="1" s="1"/>
  <c r="L393" i="1"/>
  <c r="R23" i="1"/>
  <c r="K84" i="1"/>
  <c r="O99" i="1"/>
  <c r="L158" i="1"/>
  <c r="R158" i="1"/>
  <c r="Q326" i="1"/>
  <c r="T326" i="1" s="1"/>
  <c r="T328" i="1"/>
  <c r="I374" i="1"/>
  <c r="K374" i="1" s="1"/>
  <c r="K385" i="1"/>
  <c r="N23" i="1"/>
  <c r="R25" i="1"/>
  <c r="T52" i="1"/>
  <c r="T67" i="1"/>
  <c r="T77" i="1"/>
  <c r="T80" i="1"/>
  <c r="M97" i="1"/>
  <c r="S97" i="1"/>
  <c r="O98" i="1"/>
  <c r="U98" i="1"/>
  <c r="M100" i="1"/>
  <c r="P100" i="1" s="1"/>
  <c r="S100" i="1"/>
  <c r="O101" i="1"/>
  <c r="T122" i="1"/>
  <c r="T125" i="1"/>
  <c r="M142" i="1"/>
  <c r="U146" i="1"/>
  <c r="R145" i="1"/>
  <c r="O161" i="1"/>
  <c r="O162" i="1"/>
  <c r="T162" i="1"/>
  <c r="L163" i="1"/>
  <c r="O163" i="1" s="1"/>
  <c r="S175" i="1"/>
  <c r="T180" i="1"/>
  <c r="Q179" i="1"/>
  <c r="T179" i="1" s="1"/>
  <c r="Q187" i="1"/>
  <c r="P267" i="1"/>
  <c r="M266" i="1"/>
  <c r="P270" i="1"/>
  <c r="M269" i="1"/>
  <c r="P273" i="1"/>
  <c r="M272" i="1"/>
  <c r="P272" i="1" s="1"/>
  <c r="P357" i="1"/>
  <c r="M356" i="1"/>
  <c r="P360" i="1"/>
  <c r="M359" i="1"/>
  <c r="Q46" i="1"/>
  <c r="T46" i="1" s="1"/>
  <c r="L95" i="1"/>
  <c r="U177" i="1"/>
  <c r="R176" i="1"/>
  <c r="U270" i="1"/>
  <c r="R269" i="1"/>
  <c r="P307" i="1"/>
  <c r="M306" i="1"/>
  <c r="M304" i="1"/>
  <c r="R717" i="1"/>
  <c r="U717" i="1" s="1"/>
  <c r="N26" i="1"/>
  <c r="T49" i="1"/>
  <c r="T64" i="1"/>
  <c r="M22" i="1"/>
  <c r="S22" i="1"/>
  <c r="M25" i="1"/>
  <c r="O49" i="1"/>
  <c r="U49" i="1"/>
  <c r="O52" i="1"/>
  <c r="U52" i="1"/>
  <c r="U61" i="1"/>
  <c r="Q62" i="1"/>
  <c r="T62" i="1" s="1"/>
  <c r="O64" i="1"/>
  <c r="U64" i="1"/>
  <c r="O67" i="1"/>
  <c r="U67" i="1"/>
  <c r="O77" i="1"/>
  <c r="U77" i="1"/>
  <c r="O80" i="1"/>
  <c r="U80" i="1"/>
  <c r="P98" i="1"/>
  <c r="Q120" i="1"/>
  <c r="O122" i="1"/>
  <c r="U122" i="1"/>
  <c r="O125" i="1"/>
  <c r="U125" i="1"/>
  <c r="O146" i="1"/>
  <c r="L145" i="1"/>
  <c r="O145" i="1" s="1"/>
  <c r="L159" i="1"/>
  <c r="P162" i="1"/>
  <c r="L174" i="1"/>
  <c r="U180" i="1"/>
  <c r="R179" i="1"/>
  <c r="U179" i="1" s="1"/>
  <c r="R188" i="1"/>
  <c r="M192" i="1"/>
  <c r="P192" i="1" s="1"/>
  <c r="K209" i="1"/>
  <c r="I202" i="1"/>
  <c r="K202" i="1" s="1"/>
  <c r="N269" i="1"/>
  <c r="N272" i="1"/>
  <c r="R309" i="1"/>
  <c r="U309" i="1" s="1"/>
  <c r="L336" i="1"/>
  <c r="O336" i="1" s="1"/>
  <c r="O338" i="1"/>
  <c r="L335" i="1"/>
  <c r="Q339" i="1"/>
  <c r="T339" i="1" s="1"/>
  <c r="T341" i="1"/>
  <c r="N359" i="1"/>
  <c r="O361" i="1"/>
  <c r="N358" i="1"/>
  <c r="P358" i="1" s="1"/>
  <c r="U273" i="1"/>
  <c r="R272" i="1"/>
  <c r="U272" i="1" s="1"/>
  <c r="S398" i="1"/>
  <c r="S394" i="1"/>
  <c r="L26" i="1"/>
  <c r="L46" i="1"/>
  <c r="R46" i="1"/>
  <c r="L74" i="1"/>
  <c r="R74" i="1"/>
  <c r="L119" i="1"/>
  <c r="R119" i="1"/>
  <c r="M188" i="1"/>
  <c r="N22" i="1"/>
  <c r="M141" i="1"/>
  <c r="K153" i="1"/>
  <c r="T161" i="1"/>
  <c r="Q160" i="1"/>
  <c r="T160" i="1" s="1"/>
  <c r="K172" i="1"/>
  <c r="M175" i="1"/>
  <c r="T177" i="1"/>
  <c r="Q176" i="1"/>
  <c r="S179" i="1"/>
  <c r="M189" i="1"/>
  <c r="Q284" i="1"/>
  <c r="T284" i="1" s="1"/>
  <c r="U399" i="1"/>
  <c r="R398" i="1"/>
  <c r="U398" i="1" s="1"/>
  <c r="S419" i="1"/>
  <c r="S414" i="1"/>
  <c r="I412" i="1"/>
  <c r="L326" i="1"/>
  <c r="O326" i="1" s="1"/>
  <c r="O328" i="1"/>
  <c r="U335" i="1"/>
  <c r="R339" i="1"/>
  <c r="U339" i="1" s="1"/>
  <c r="U341" i="1"/>
  <c r="U363" i="1"/>
  <c r="R362" i="1"/>
  <c r="U362" i="1" s="1"/>
  <c r="Q381" i="1"/>
  <c r="T381" i="1" s="1"/>
  <c r="T383" i="1"/>
  <c r="O396" i="1"/>
  <c r="L395" i="1"/>
  <c r="O395" i="1" s="1"/>
  <c r="M398" i="1"/>
  <c r="P398" i="1" s="1"/>
  <c r="U418" i="1"/>
  <c r="R415" i="1"/>
  <c r="O420" i="1"/>
  <c r="L419" i="1"/>
  <c r="O419" i="1" s="1"/>
  <c r="L414" i="1"/>
  <c r="R499" i="1"/>
  <c r="U499" i="1" s="1"/>
  <c r="U501" i="1"/>
  <c r="M519" i="1"/>
  <c r="P519" i="1" s="1"/>
  <c r="O541" i="1"/>
  <c r="L540" i="1"/>
  <c r="S561" i="1"/>
  <c r="S556" i="1"/>
  <c r="S579" i="1"/>
  <c r="S577" i="1"/>
  <c r="T647" i="1"/>
  <c r="Q645" i="1"/>
  <c r="Q644" i="1"/>
  <c r="I689" i="1"/>
  <c r="K689" i="1" s="1"/>
  <c r="K707" i="1"/>
  <c r="P310" i="1"/>
  <c r="M309" i="1"/>
  <c r="P309" i="1" s="1"/>
  <c r="L339" i="1"/>
  <c r="O339" i="1" s="1"/>
  <c r="O341" i="1"/>
  <c r="U360" i="1"/>
  <c r="R359" i="1"/>
  <c r="U359" i="1" s="1"/>
  <c r="S415" i="1"/>
  <c r="T415" i="1" s="1"/>
  <c r="T418" i="1"/>
  <c r="M419" i="1"/>
  <c r="P419" i="1" s="1"/>
  <c r="M414" i="1"/>
  <c r="P420" i="1"/>
  <c r="P521" i="1"/>
  <c r="M515" i="1"/>
  <c r="P515" i="1" s="1"/>
  <c r="P541" i="1"/>
  <c r="M540" i="1"/>
  <c r="M535" i="1"/>
  <c r="N558" i="1"/>
  <c r="N556" i="1"/>
  <c r="L561" i="1"/>
  <c r="O562" i="1"/>
  <c r="L556" i="1"/>
  <c r="L579" i="1"/>
  <c r="O580" i="1"/>
  <c r="L577" i="1"/>
  <c r="O736" i="1"/>
  <c r="L734" i="1"/>
  <c r="O734" i="1" s="1"/>
  <c r="L730" i="1"/>
  <c r="Q163" i="1"/>
  <c r="T163" i="1" s="1"/>
  <c r="M176" i="1"/>
  <c r="M179" i="1"/>
  <c r="P179" i="1" s="1"/>
  <c r="L189" i="1"/>
  <c r="R189" i="1"/>
  <c r="U189" i="1" s="1"/>
  <c r="L192" i="1"/>
  <c r="O192" i="1" s="1"/>
  <c r="R192" i="1"/>
  <c r="U192" i="1" s="1"/>
  <c r="Q285" i="1"/>
  <c r="T285" i="1" s="1"/>
  <c r="Q288" i="1"/>
  <c r="T288" i="1" s="1"/>
  <c r="R306" i="1"/>
  <c r="P308" i="1"/>
  <c r="L309" i="1"/>
  <c r="O309" i="1" s="1"/>
  <c r="R323" i="1"/>
  <c r="U323" i="1" s="1"/>
  <c r="U325" i="1"/>
  <c r="Q336" i="1"/>
  <c r="T336" i="1" s="1"/>
  <c r="T338" i="1"/>
  <c r="R357" i="1"/>
  <c r="O363" i="1"/>
  <c r="L362" i="1"/>
  <c r="O362" i="1" s="1"/>
  <c r="Q378" i="1"/>
  <c r="T380" i="1"/>
  <c r="O418" i="1"/>
  <c r="L415" i="1"/>
  <c r="O415" i="1" s="1"/>
  <c r="J447" i="1"/>
  <c r="J441" i="1" s="1"/>
  <c r="K441" i="1" s="1"/>
  <c r="O538" i="1"/>
  <c r="L537" i="1"/>
  <c r="O537" i="1" s="1"/>
  <c r="L535" i="1"/>
  <c r="L323" i="1"/>
  <c r="O325" i="1"/>
  <c r="K330" i="1"/>
  <c r="R336" i="1"/>
  <c r="U336" i="1" s="1"/>
  <c r="U338" i="1"/>
  <c r="J343" i="1"/>
  <c r="J332" i="1"/>
  <c r="K332" i="1" s="1"/>
  <c r="S357" i="1"/>
  <c r="O360" i="1"/>
  <c r="L359" i="1"/>
  <c r="P363" i="1"/>
  <c r="M362" i="1"/>
  <c r="P362" i="1" s="1"/>
  <c r="M394" i="1"/>
  <c r="P394" i="1" s="1"/>
  <c r="T399" i="1"/>
  <c r="Q398" i="1"/>
  <c r="T398" i="1" s="1"/>
  <c r="P418" i="1"/>
  <c r="M415" i="1"/>
  <c r="P415" i="1" s="1"/>
  <c r="O517" i="1"/>
  <c r="L516" i="1"/>
  <c r="O516" i="1" s="1"/>
  <c r="P618" i="1"/>
  <c r="J425" i="1"/>
  <c r="K425" i="1" s="1"/>
  <c r="L499" i="1"/>
  <c r="O499" i="1" s="1"/>
  <c r="O501" i="1"/>
  <c r="P538" i="1"/>
  <c r="M537" i="1"/>
  <c r="P537" i="1" s="1"/>
  <c r="P563" i="1"/>
  <c r="P580" i="1"/>
  <c r="M579" i="1"/>
  <c r="M577" i="1"/>
  <c r="N618" i="1"/>
  <c r="N616" i="1" s="1"/>
  <c r="N619" i="1"/>
  <c r="U733" i="1"/>
  <c r="R730" i="1"/>
  <c r="I758" i="1"/>
  <c r="K758" i="1" s="1"/>
  <c r="K772" i="1"/>
  <c r="R419" i="1"/>
  <c r="U419" i="1" s="1"/>
  <c r="L495" i="1"/>
  <c r="Q499" i="1"/>
  <c r="T499" i="1" s="1"/>
  <c r="T520" i="1"/>
  <c r="Q519" i="1"/>
  <c r="T519" i="1" s="1"/>
  <c r="T620" i="1"/>
  <c r="Q619" i="1"/>
  <c r="S763" i="1"/>
  <c r="S761" i="1"/>
  <c r="R414" i="1"/>
  <c r="J446" i="1"/>
  <c r="J440" i="1" s="1"/>
  <c r="J477" i="1"/>
  <c r="R496" i="1"/>
  <c r="U496" i="1" s="1"/>
  <c r="U498" i="1"/>
  <c r="N515" i="1"/>
  <c r="N513" i="1" s="1"/>
  <c r="T517" i="1"/>
  <c r="Q516" i="1"/>
  <c r="T516" i="1" s="1"/>
  <c r="U520" i="1"/>
  <c r="R519" i="1"/>
  <c r="U519" i="1" s="1"/>
  <c r="U541" i="1"/>
  <c r="R540" i="1"/>
  <c r="U540" i="1" s="1"/>
  <c r="N582" i="1"/>
  <c r="N577" i="1"/>
  <c r="T584" i="1"/>
  <c r="Q578" i="1"/>
  <c r="T578" i="1" s="1"/>
  <c r="Q582" i="1"/>
  <c r="T582" i="1" s="1"/>
  <c r="Q617" i="1"/>
  <c r="M622" i="1"/>
  <c r="P622" i="1" s="1"/>
  <c r="P624" i="1"/>
  <c r="R720" i="1"/>
  <c r="U720" i="1" s="1"/>
  <c r="O722" i="1"/>
  <c r="L720" i="1"/>
  <c r="O720" i="1" s="1"/>
  <c r="L716" i="1"/>
  <c r="U517" i="1"/>
  <c r="R516" i="1"/>
  <c r="U516" i="1" s="1"/>
  <c r="O520" i="1"/>
  <c r="L519" i="1"/>
  <c r="O519" i="1" s="1"/>
  <c r="U538" i="1"/>
  <c r="R537" i="1"/>
  <c r="U537" i="1" s="1"/>
  <c r="T560" i="1"/>
  <c r="Q557" i="1"/>
  <c r="R561" i="1"/>
  <c r="U561" i="1" s="1"/>
  <c r="U562" i="1"/>
  <c r="U617" i="1"/>
  <c r="R616" i="1"/>
  <c r="O617" i="1"/>
  <c r="K746" i="1"/>
  <c r="J726" i="1"/>
  <c r="K726" i="1" s="1"/>
  <c r="K565" i="1"/>
  <c r="R577" i="1"/>
  <c r="S618" i="1"/>
  <c r="U620" i="1"/>
  <c r="R619" i="1"/>
  <c r="U621" i="1"/>
  <c r="T623" i="1"/>
  <c r="Q622" i="1"/>
  <c r="T622" i="1" s="1"/>
  <c r="K627" i="1"/>
  <c r="J674" i="1"/>
  <c r="K674" i="1" s="1"/>
  <c r="K679" i="1"/>
  <c r="K705" i="1"/>
  <c r="P767" i="1"/>
  <c r="M766" i="1"/>
  <c r="P766" i="1" s="1"/>
  <c r="K782" i="1"/>
  <c r="N561" i="1"/>
  <c r="L618" i="1"/>
  <c r="O618" i="1" s="1"/>
  <c r="O620" i="1"/>
  <c r="L619" i="1"/>
  <c r="O619" i="1" s="1"/>
  <c r="U623" i="1"/>
  <c r="R622" i="1"/>
  <c r="U622" i="1" s="1"/>
  <c r="P764" i="1"/>
  <c r="M763" i="1"/>
  <c r="P763" i="1" s="1"/>
  <c r="M600" i="1"/>
  <c r="M602" i="1"/>
  <c r="Q605" i="1"/>
  <c r="T605" i="1" s="1"/>
  <c r="T621" i="1"/>
  <c r="O623" i="1"/>
  <c r="L622" i="1"/>
  <c r="O622" i="1" s="1"/>
  <c r="K703" i="1"/>
  <c r="I701" i="1"/>
  <c r="L717" i="1"/>
  <c r="O717" i="1" s="1"/>
  <c r="L731" i="1"/>
  <c r="O731" i="1" s="1"/>
  <c r="M761" i="1"/>
  <c r="M762" i="1"/>
  <c r="P762" i="1" s="1"/>
  <c r="K780" i="1"/>
  <c r="K586" i="1"/>
  <c r="M619" i="1"/>
  <c r="P619" i="1" s="1"/>
  <c r="P621" i="1"/>
  <c r="L763" i="1"/>
  <c r="O763" i="1" s="1"/>
  <c r="R763" i="1"/>
  <c r="L766" i="1"/>
  <c r="O766" i="1" s="1"/>
  <c r="R766" i="1"/>
  <c r="U766" i="1" s="1"/>
  <c r="T695" i="1"/>
  <c r="T698" i="1"/>
  <c r="T719" i="1"/>
  <c r="T722" i="1"/>
  <c r="T733" i="1"/>
  <c r="T736" i="1"/>
  <c r="U731" i="1" l="1"/>
  <c r="T731" i="1"/>
  <c r="O232" i="1"/>
  <c r="P141" i="1"/>
  <c r="P336" i="1"/>
  <c r="T306" i="1"/>
  <c r="O141" i="1"/>
  <c r="U306" i="1"/>
  <c r="I185" i="11"/>
  <c r="K185" i="11" s="1"/>
  <c r="T642" i="18"/>
  <c r="T266" i="10"/>
  <c r="U413" i="17"/>
  <c r="T375" i="12"/>
  <c r="U645" i="1"/>
  <c r="P540" i="1"/>
  <c r="O540" i="1"/>
  <c r="U416" i="1"/>
  <c r="P46" i="2"/>
  <c r="L356" i="1"/>
  <c r="P284" i="1"/>
  <c r="O203" i="1"/>
  <c r="T728" i="13"/>
  <c r="I185" i="14"/>
  <c r="K185" i="14" s="1"/>
  <c r="P160" i="1"/>
  <c r="N375" i="1"/>
  <c r="U728" i="17"/>
  <c r="T20" i="15"/>
  <c r="O21" i="18"/>
  <c r="T20" i="16"/>
  <c r="U186" i="18"/>
  <c r="T20" i="18"/>
  <c r="P59" i="17"/>
  <c r="U413" i="15"/>
  <c r="N40" i="16"/>
  <c r="P20" i="18"/>
  <c r="T173" i="8"/>
  <c r="P21" i="18"/>
  <c r="P20" i="17"/>
  <c r="K231" i="18"/>
  <c r="N40" i="18"/>
  <c r="O599" i="18"/>
  <c r="O333" i="17"/>
  <c r="Q18" i="18"/>
  <c r="T18" i="18" s="1"/>
  <c r="T20" i="11"/>
  <c r="U20" i="12"/>
  <c r="P173" i="18"/>
  <c r="L40" i="18"/>
  <c r="U139" i="18"/>
  <c r="U20" i="18"/>
  <c r="R18" i="18"/>
  <c r="U18" i="18" s="1"/>
  <c r="O20" i="18"/>
  <c r="L18" i="18"/>
  <c r="O18" i="18" s="1"/>
  <c r="U21" i="18"/>
  <c r="O186" i="15"/>
  <c r="T21" i="18"/>
  <c r="K231" i="15"/>
  <c r="M18" i="18"/>
  <c r="P18" i="18" s="1"/>
  <c r="N40" i="17"/>
  <c r="M40" i="18"/>
  <c r="P44" i="18"/>
  <c r="U266" i="13"/>
  <c r="P375" i="17"/>
  <c r="T18" i="17"/>
  <c r="U760" i="13"/>
  <c r="P20" i="16"/>
  <c r="O18" i="16"/>
  <c r="O21" i="17"/>
  <c r="L40" i="17"/>
  <c r="U20" i="17"/>
  <c r="R18" i="17"/>
  <c r="U18" i="17" s="1"/>
  <c r="M18" i="17"/>
  <c r="P18" i="17" s="1"/>
  <c r="P18" i="12"/>
  <c r="N40" i="12"/>
  <c r="P21" i="15"/>
  <c r="P72" i="16"/>
  <c r="O20" i="16"/>
  <c r="Q18" i="16"/>
  <c r="T18" i="16" s="1"/>
  <c r="M40" i="17"/>
  <c r="P44" i="17"/>
  <c r="T72" i="16"/>
  <c r="O20" i="17"/>
  <c r="L18" i="17"/>
  <c r="O18" i="17" s="1"/>
  <c r="T20" i="17"/>
  <c r="K231" i="17"/>
  <c r="I185" i="17"/>
  <c r="K185" i="17" s="1"/>
  <c r="O21" i="15"/>
  <c r="P44" i="16"/>
  <c r="U690" i="15"/>
  <c r="U266" i="15"/>
  <c r="U186" i="16"/>
  <c r="O282" i="12"/>
  <c r="U616" i="15"/>
  <c r="M18" i="16"/>
  <c r="P18" i="16" s="1"/>
  <c r="O21" i="16"/>
  <c r="T21" i="16"/>
  <c r="K231" i="16"/>
  <c r="I185" i="16"/>
  <c r="K185" i="16" s="1"/>
  <c r="U20" i="16"/>
  <c r="R18" i="16"/>
  <c r="U18" i="16" s="1"/>
  <c r="P18" i="15"/>
  <c r="O59" i="16"/>
  <c r="L40" i="16"/>
  <c r="M40" i="16"/>
  <c r="U21" i="15"/>
  <c r="Q18" i="15"/>
  <c r="T18" i="15" s="1"/>
  <c r="P266" i="15"/>
  <c r="T21" i="15"/>
  <c r="N40" i="15"/>
  <c r="P74" i="3"/>
  <c r="S493" i="1"/>
  <c r="N40" i="9"/>
  <c r="O186" i="14"/>
  <c r="U616" i="14"/>
  <c r="O599" i="15"/>
  <c r="O44" i="15"/>
  <c r="O356" i="10"/>
  <c r="P72" i="14"/>
  <c r="T375" i="14"/>
  <c r="M40" i="15"/>
  <c r="P44" i="15"/>
  <c r="O20" i="15"/>
  <c r="L18" i="15"/>
  <c r="O18" i="15" s="1"/>
  <c r="U20" i="15"/>
  <c r="R18" i="15"/>
  <c r="U18" i="15" s="1"/>
  <c r="L40" i="15"/>
  <c r="T21" i="14"/>
  <c r="P20" i="15"/>
  <c r="U145" i="1"/>
  <c r="O599" i="13"/>
  <c r="U20" i="8"/>
  <c r="M40" i="13"/>
  <c r="U20" i="14"/>
  <c r="U690" i="14"/>
  <c r="P21" i="14"/>
  <c r="P20" i="14"/>
  <c r="M18" i="14"/>
  <c r="P18" i="14" s="1"/>
  <c r="R18" i="14"/>
  <c r="U18" i="14" s="1"/>
  <c r="O356" i="11"/>
  <c r="O18" i="14"/>
  <c r="O20" i="14"/>
  <c r="T20" i="14"/>
  <c r="Q18" i="14"/>
  <c r="T18" i="14" s="1"/>
  <c r="O94" i="14"/>
  <c r="L40" i="14"/>
  <c r="U72" i="14"/>
  <c r="T72" i="14"/>
  <c r="N40" i="14"/>
  <c r="O303" i="11"/>
  <c r="M40" i="14"/>
  <c r="O21" i="14"/>
  <c r="P555" i="13"/>
  <c r="P21" i="13"/>
  <c r="P599" i="12"/>
  <c r="U20" i="13"/>
  <c r="O282" i="13"/>
  <c r="P18" i="11"/>
  <c r="R18" i="13"/>
  <c r="U18" i="13" s="1"/>
  <c r="M493" i="1"/>
  <c r="P173" i="13"/>
  <c r="O20" i="13"/>
  <c r="L18" i="13"/>
  <c r="O18" i="13" s="1"/>
  <c r="T20" i="13"/>
  <c r="P495" i="1"/>
  <c r="U728" i="11"/>
  <c r="O21" i="12"/>
  <c r="O186" i="13"/>
  <c r="P20" i="13"/>
  <c r="M18" i="13"/>
  <c r="P18" i="13" s="1"/>
  <c r="O282" i="10"/>
  <c r="P20" i="12"/>
  <c r="L40" i="13"/>
  <c r="O44" i="13"/>
  <c r="Q18" i="13"/>
  <c r="T18" i="13" s="1"/>
  <c r="N40" i="13"/>
  <c r="P186" i="10"/>
  <c r="P599" i="11"/>
  <c r="Q18" i="11"/>
  <c r="T18" i="11" s="1"/>
  <c r="T117" i="12"/>
  <c r="Q18" i="12"/>
  <c r="T18" i="12" s="1"/>
  <c r="T20" i="12"/>
  <c r="O157" i="11"/>
  <c r="P20" i="11"/>
  <c r="U303" i="12"/>
  <c r="T303" i="12"/>
  <c r="O20" i="12"/>
  <c r="L18" i="12"/>
  <c r="O18" i="12" s="1"/>
  <c r="M40" i="12"/>
  <c r="P44" i="12"/>
  <c r="L40" i="12"/>
  <c r="T21" i="12"/>
  <c r="R18" i="12"/>
  <c r="U18" i="12" s="1"/>
  <c r="P173" i="12"/>
  <c r="O173" i="12"/>
  <c r="U728" i="10"/>
  <c r="O282" i="9"/>
  <c r="K701" i="3"/>
  <c r="T21" i="11"/>
  <c r="R59" i="1"/>
  <c r="U59" i="1" s="1"/>
  <c r="N40" i="10"/>
  <c r="L40" i="11"/>
  <c r="P21" i="11"/>
  <c r="U20" i="11"/>
  <c r="R18" i="11"/>
  <c r="U18" i="11" s="1"/>
  <c r="T21" i="9"/>
  <c r="U21" i="11"/>
  <c r="O20" i="11"/>
  <c r="L18" i="11"/>
  <c r="O18" i="11" s="1"/>
  <c r="O335" i="3"/>
  <c r="N40" i="11"/>
  <c r="M40" i="11"/>
  <c r="P44" i="11"/>
  <c r="O21" i="11"/>
  <c r="U20" i="9"/>
  <c r="U303" i="10"/>
  <c r="T139" i="11"/>
  <c r="P72" i="11"/>
  <c r="P303" i="8"/>
  <c r="P20" i="10"/>
  <c r="T20" i="10"/>
  <c r="M576" i="3"/>
  <c r="P576" i="3" s="1"/>
  <c r="P18" i="8"/>
  <c r="T21" i="10"/>
  <c r="O44" i="10"/>
  <c r="O20" i="10"/>
  <c r="L18" i="10"/>
  <c r="O18" i="10" s="1"/>
  <c r="U20" i="10"/>
  <c r="R18" i="10"/>
  <c r="U18" i="10" s="1"/>
  <c r="O21" i="10"/>
  <c r="L40" i="10"/>
  <c r="O357" i="1"/>
  <c r="U21" i="10"/>
  <c r="Q413" i="1"/>
  <c r="Q186" i="2"/>
  <c r="T186" i="2" s="1"/>
  <c r="O416" i="1"/>
  <c r="O214" i="1"/>
  <c r="T186" i="6"/>
  <c r="Q18" i="10"/>
  <c r="T18" i="10" s="1"/>
  <c r="M40" i="10"/>
  <c r="P44" i="10"/>
  <c r="P176" i="1"/>
  <c r="S173" i="1"/>
  <c r="U173" i="1" s="1"/>
  <c r="O176" i="1"/>
  <c r="M18" i="10"/>
  <c r="P18" i="10" s="1"/>
  <c r="K231" i="10"/>
  <c r="I185" i="10"/>
  <c r="K185" i="10" s="1"/>
  <c r="P72" i="10"/>
  <c r="T375" i="7"/>
  <c r="T24" i="7"/>
  <c r="U117" i="8"/>
  <c r="O20" i="8"/>
  <c r="N333" i="3"/>
  <c r="O333" i="3" s="1"/>
  <c r="T20" i="5"/>
  <c r="P186" i="8"/>
  <c r="P416" i="1"/>
  <c r="U760" i="7"/>
  <c r="U690" i="8"/>
  <c r="P20" i="8"/>
  <c r="U760" i="9"/>
  <c r="T760" i="9"/>
  <c r="L599" i="3"/>
  <c r="O599" i="3" s="1"/>
  <c r="O20" i="9"/>
  <c r="L18" i="9"/>
  <c r="O18" i="9" s="1"/>
  <c r="T186" i="9"/>
  <c r="T20" i="9"/>
  <c r="Q18" i="9"/>
  <c r="T18" i="9" s="1"/>
  <c r="R18" i="9"/>
  <c r="U18" i="9" s="1"/>
  <c r="M40" i="9"/>
  <c r="P40" i="9" s="1"/>
  <c r="P44" i="9"/>
  <c r="L40" i="9"/>
  <c r="O44" i="9"/>
  <c r="P20" i="9"/>
  <c r="M18" i="9"/>
  <c r="P18" i="9" s="1"/>
  <c r="T145" i="1"/>
  <c r="P21" i="9"/>
  <c r="P72" i="7"/>
  <c r="N40" i="7"/>
  <c r="N40" i="8"/>
  <c r="T119" i="3"/>
  <c r="K231" i="7"/>
  <c r="R18" i="8"/>
  <c r="U18" i="8" s="1"/>
  <c r="L18" i="8"/>
  <c r="O18" i="8" s="1"/>
  <c r="O413" i="4"/>
  <c r="P21" i="8"/>
  <c r="T20" i="8"/>
  <c r="Q18" i="8"/>
  <c r="T18" i="8" s="1"/>
  <c r="T616" i="4"/>
  <c r="T378" i="3"/>
  <c r="P266" i="2"/>
  <c r="K231" i="8"/>
  <c r="I185" i="8"/>
  <c r="K185" i="8" s="1"/>
  <c r="P96" i="3"/>
  <c r="O18" i="5"/>
  <c r="L40" i="8"/>
  <c r="T21" i="8"/>
  <c r="U186" i="8"/>
  <c r="T186" i="8"/>
  <c r="M282" i="1"/>
  <c r="N728" i="1"/>
  <c r="O266" i="2"/>
  <c r="N157" i="1"/>
  <c r="P21" i="4"/>
  <c r="M40" i="8"/>
  <c r="T416" i="2"/>
  <c r="I185" i="6"/>
  <c r="K185" i="6" s="1"/>
  <c r="P323" i="1"/>
  <c r="P558" i="1"/>
  <c r="L320" i="3"/>
  <c r="O320" i="3" s="1"/>
  <c r="O20" i="4"/>
  <c r="U20" i="7"/>
  <c r="R18" i="7"/>
  <c r="U18" i="7" s="1"/>
  <c r="U762" i="1"/>
  <c r="T96" i="1"/>
  <c r="N333" i="1"/>
  <c r="P176" i="3"/>
  <c r="M40" i="7"/>
  <c r="P44" i="7"/>
  <c r="T20" i="7"/>
  <c r="Q18" i="7"/>
  <c r="T18" i="7" s="1"/>
  <c r="P20" i="7"/>
  <c r="M18" i="7"/>
  <c r="P18" i="7" s="1"/>
  <c r="P21" i="7"/>
  <c r="P188" i="1"/>
  <c r="R534" i="1"/>
  <c r="U534" i="1" s="1"/>
  <c r="S117" i="1"/>
  <c r="T375" i="3"/>
  <c r="O159" i="1"/>
  <c r="S303" i="2"/>
  <c r="U303" i="2" s="1"/>
  <c r="P494" i="1"/>
  <c r="U188" i="3"/>
  <c r="S59" i="1"/>
  <c r="T21" i="7"/>
  <c r="O20" i="7"/>
  <c r="L18" i="7"/>
  <c r="O18" i="7" s="1"/>
  <c r="L40" i="7"/>
  <c r="O44" i="7"/>
  <c r="O47" i="1"/>
  <c r="K70" i="1"/>
  <c r="T728" i="4"/>
  <c r="U619" i="1"/>
  <c r="T619" i="1"/>
  <c r="T186" i="3"/>
  <c r="T188" i="3"/>
  <c r="O284" i="3"/>
  <c r="L117" i="3"/>
  <c r="O117" i="3" s="1"/>
  <c r="U21" i="5"/>
  <c r="T21" i="5"/>
  <c r="M40" i="6"/>
  <c r="P557" i="1"/>
  <c r="U762" i="3"/>
  <c r="N642" i="1"/>
  <c r="S714" i="1"/>
  <c r="P21" i="5"/>
  <c r="M40" i="5"/>
  <c r="O576" i="6"/>
  <c r="O21" i="6"/>
  <c r="R266" i="1"/>
  <c r="U266" i="1" s="1"/>
  <c r="U18" i="5"/>
  <c r="P20" i="6"/>
  <c r="M18" i="6"/>
  <c r="P18" i="6" s="1"/>
  <c r="O59" i="6"/>
  <c r="L40" i="6"/>
  <c r="S186" i="1"/>
  <c r="P62" i="3"/>
  <c r="T731" i="3"/>
  <c r="T266" i="4"/>
  <c r="T94" i="4"/>
  <c r="P358" i="3"/>
  <c r="T20" i="6"/>
  <c r="N40" i="6"/>
  <c r="O44" i="6"/>
  <c r="O20" i="6"/>
  <c r="L18" i="6"/>
  <c r="O18" i="6" s="1"/>
  <c r="U188" i="1"/>
  <c r="U18" i="6"/>
  <c r="T378" i="1"/>
  <c r="Q59" i="1"/>
  <c r="T59" i="1" s="1"/>
  <c r="O269" i="3"/>
  <c r="T18" i="6"/>
  <c r="U20" i="6"/>
  <c r="O413" i="2"/>
  <c r="S20" i="3"/>
  <c r="S18" i="3" s="1"/>
  <c r="O139" i="3"/>
  <c r="L72" i="2"/>
  <c r="O72" i="2" s="1"/>
  <c r="O305" i="3"/>
  <c r="T693" i="3"/>
  <c r="T189" i="3"/>
  <c r="U693" i="1"/>
  <c r="S555" i="1"/>
  <c r="Q375" i="1"/>
  <c r="T375" i="1" s="1"/>
  <c r="O268" i="2"/>
  <c r="U119" i="3"/>
  <c r="R728" i="3"/>
  <c r="U728" i="3" s="1"/>
  <c r="T416" i="3"/>
  <c r="N40" i="4"/>
  <c r="U20" i="5"/>
  <c r="P268" i="2"/>
  <c r="S356" i="1"/>
  <c r="U117" i="3"/>
  <c r="P26" i="3"/>
  <c r="Q18" i="5"/>
  <c r="T18" i="5" s="1"/>
  <c r="O97" i="1"/>
  <c r="U123" i="1"/>
  <c r="S728" i="1"/>
  <c r="T730" i="1"/>
  <c r="P284" i="3"/>
  <c r="P175" i="3"/>
  <c r="T690" i="5"/>
  <c r="U690" i="5"/>
  <c r="P59" i="5"/>
  <c r="N40" i="5"/>
  <c r="K231" i="5"/>
  <c r="I185" i="5"/>
  <c r="K185" i="5" s="1"/>
  <c r="S576" i="1"/>
  <c r="O175" i="3"/>
  <c r="L534" i="3"/>
  <c r="O534" i="3" s="1"/>
  <c r="L40" i="5"/>
  <c r="R599" i="2"/>
  <c r="U599" i="2" s="1"/>
  <c r="T123" i="1"/>
  <c r="O159" i="3"/>
  <c r="L375" i="3"/>
  <c r="O375" i="3" s="1"/>
  <c r="R333" i="1"/>
  <c r="U333" i="1" s="1"/>
  <c r="U176" i="1"/>
  <c r="R21" i="1"/>
  <c r="O377" i="2"/>
  <c r="R555" i="1"/>
  <c r="U555" i="1" s="1"/>
  <c r="T74" i="3"/>
  <c r="M356" i="3"/>
  <c r="P356" i="3" s="1"/>
  <c r="M493" i="3"/>
  <c r="P493" i="3" s="1"/>
  <c r="T139" i="3"/>
  <c r="O20" i="5"/>
  <c r="P20" i="5"/>
  <c r="T763" i="1"/>
  <c r="L20" i="1"/>
  <c r="P97" i="1"/>
  <c r="O306" i="1"/>
  <c r="P601" i="1"/>
  <c r="Q94" i="1"/>
  <c r="O176" i="3"/>
  <c r="O358" i="3"/>
  <c r="M18" i="5"/>
  <c r="P18" i="5" s="1"/>
  <c r="J457" i="1"/>
  <c r="J456" i="1" s="1"/>
  <c r="K456" i="1" s="1"/>
  <c r="U20" i="4"/>
  <c r="I71" i="2"/>
  <c r="K71" i="2" s="1"/>
  <c r="P284" i="2"/>
  <c r="K632" i="1"/>
  <c r="Q20" i="1"/>
  <c r="S690" i="1"/>
  <c r="O75" i="1"/>
  <c r="S303" i="1"/>
  <c r="T693" i="1"/>
  <c r="P46" i="3"/>
  <c r="L94" i="3"/>
  <c r="O94" i="3" s="1"/>
  <c r="T306" i="3"/>
  <c r="M173" i="3"/>
  <c r="P173" i="3" s="1"/>
  <c r="K374" i="3"/>
  <c r="S599" i="1"/>
  <c r="P359" i="3"/>
  <c r="O306" i="3"/>
  <c r="P159" i="1"/>
  <c r="O189" i="3"/>
  <c r="U269" i="3"/>
  <c r="P188" i="3"/>
  <c r="M555" i="1"/>
  <c r="L18" i="4"/>
  <c r="O18" i="4" s="1"/>
  <c r="P189" i="1"/>
  <c r="R513" i="1"/>
  <c r="U513" i="1" s="1"/>
  <c r="Q282" i="1"/>
  <c r="T282" i="1" s="1"/>
  <c r="T616" i="2"/>
  <c r="T728" i="2"/>
  <c r="U26" i="1"/>
  <c r="U306" i="3"/>
  <c r="M282" i="3"/>
  <c r="Q599" i="3"/>
  <c r="T599" i="3" s="1"/>
  <c r="R18" i="4"/>
  <c r="U18" i="4" s="1"/>
  <c r="L690" i="1"/>
  <c r="O690" i="1" s="1"/>
  <c r="M375" i="2"/>
  <c r="P375" i="2" s="1"/>
  <c r="N690" i="1"/>
  <c r="U305" i="1"/>
  <c r="T75" i="1"/>
  <c r="U141" i="3"/>
  <c r="M320" i="3"/>
  <c r="P320" i="3" s="1"/>
  <c r="O268" i="3"/>
  <c r="P303" i="4"/>
  <c r="P579" i="1"/>
  <c r="T644" i="2"/>
  <c r="U728" i="2"/>
  <c r="U306" i="2"/>
  <c r="K701" i="2"/>
  <c r="N282" i="3"/>
  <c r="O282" i="3" s="1"/>
  <c r="R760" i="3"/>
  <c r="U760" i="3" s="1"/>
  <c r="T141" i="3"/>
  <c r="U377" i="1"/>
  <c r="O26" i="3"/>
  <c r="T269" i="1"/>
  <c r="M714" i="1"/>
  <c r="P714" i="1" s="1"/>
  <c r="M24" i="3"/>
  <c r="P24" i="3" s="1"/>
  <c r="L303" i="3"/>
  <c r="O303" i="3" s="1"/>
  <c r="U176" i="3"/>
  <c r="L493" i="3"/>
  <c r="O493" i="3" s="1"/>
  <c r="T645" i="1"/>
  <c r="R320" i="1"/>
  <c r="U320" i="1" s="1"/>
  <c r="O356" i="2"/>
  <c r="T730" i="2"/>
  <c r="K484" i="1"/>
  <c r="T268" i="2"/>
  <c r="M616" i="1"/>
  <c r="P616" i="1" s="1"/>
  <c r="L599" i="1"/>
  <c r="O599" i="1" s="1"/>
  <c r="P61" i="1"/>
  <c r="U619" i="2"/>
  <c r="T175" i="3"/>
  <c r="U120" i="3"/>
  <c r="T693" i="2"/>
  <c r="K626" i="1"/>
  <c r="O284" i="2"/>
  <c r="U268" i="2"/>
  <c r="S20" i="1"/>
  <c r="O47" i="2"/>
  <c r="O285" i="1"/>
  <c r="S392" i="1"/>
  <c r="T97" i="1"/>
  <c r="T377" i="1"/>
  <c r="S413" i="2"/>
  <c r="T413" i="2" s="1"/>
  <c r="S320" i="1"/>
  <c r="N72" i="1"/>
  <c r="P285" i="1"/>
  <c r="P61" i="3"/>
  <c r="T176" i="3"/>
  <c r="T377" i="3"/>
  <c r="U175" i="3"/>
  <c r="U495" i="1"/>
  <c r="U693" i="3"/>
  <c r="L320" i="1"/>
  <c r="O320" i="1" s="1"/>
  <c r="L59" i="1"/>
  <c r="R392" i="3"/>
  <c r="U392" i="3" s="1"/>
  <c r="U145" i="3"/>
  <c r="T20" i="4"/>
  <c r="Q18" i="4"/>
  <c r="T18" i="4" s="1"/>
  <c r="P20" i="4"/>
  <c r="M18" i="4"/>
  <c r="P18" i="4" s="1"/>
  <c r="U189" i="3"/>
  <c r="M40" i="4"/>
  <c r="P44" i="4"/>
  <c r="L40" i="4"/>
  <c r="O336" i="3"/>
  <c r="P189" i="3"/>
  <c r="M642" i="1"/>
  <c r="P642" i="1" s="1"/>
  <c r="M173" i="1"/>
  <c r="P335" i="1"/>
  <c r="R599" i="3"/>
  <c r="U599" i="3" s="1"/>
  <c r="L576" i="3"/>
  <c r="O576" i="3" s="1"/>
  <c r="P415" i="3"/>
  <c r="Q513" i="1"/>
  <c r="T513" i="1" s="1"/>
  <c r="N576" i="1"/>
  <c r="M513" i="1"/>
  <c r="P513" i="1" s="1"/>
  <c r="Q760" i="1"/>
  <c r="K374" i="2"/>
  <c r="T306" i="2"/>
  <c r="O188" i="2"/>
  <c r="O578" i="1"/>
  <c r="K475" i="1"/>
  <c r="U75" i="1"/>
  <c r="P578" i="1"/>
  <c r="M59" i="1"/>
  <c r="N186" i="1"/>
  <c r="Q690" i="1"/>
  <c r="Q94" i="3"/>
  <c r="T94" i="3" s="1"/>
  <c r="M44" i="3"/>
  <c r="P44" i="3" s="1"/>
  <c r="R266" i="3"/>
  <c r="U266" i="3" s="1"/>
  <c r="T305" i="3"/>
  <c r="U303" i="3"/>
  <c r="Q392" i="3"/>
  <c r="T392" i="3" s="1"/>
  <c r="O188" i="3"/>
  <c r="T415" i="3"/>
  <c r="O413" i="3"/>
  <c r="P536" i="3"/>
  <c r="M534" i="3"/>
  <c r="P534" i="3" s="1"/>
  <c r="O75" i="3"/>
  <c r="O186" i="3"/>
  <c r="R186" i="2"/>
  <c r="U186" i="2" s="1"/>
  <c r="O269" i="2"/>
  <c r="Q714" i="1"/>
  <c r="T714" i="1" s="1"/>
  <c r="L599" i="2"/>
  <c r="O599" i="2" s="1"/>
  <c r="P715" i="1"/>
  <c r="P268" i="3"/>
  <c r="T303" i="3"/>
  <c r="Q266" i="3"/>
  <c r="T266" i="3" s="1"/>
  <c r="U556" i="1"/>
  <c r="T119" i="2"/>
  <c r="N493" i="1"/>
  <c r="S333" i="1"/>
  <c r="P75" i="1"/>
  <c r="R303" i="1"/>
  <c r="T120" i="3"/>
  <c r="S72" i="3"/>
  <c r="U72" i="3" s="1"/>
  <c r="P336" i="3"/>
  <c r="O415" i="3"/>
  <c r="Q728" i="3"/>
  <c r="T728" i="3" s="1"/>
  <c r="P285" i="3"/>
  <c r="U119" i="2"/>
  <c r="R139" i="2"/>
  <c r="U139" i="2" s="1"/>
  <c r="P269" i="2"/>
  <c r="N534" i="1"/>
  <c r="P413" i="3"/>
  <c r="L72" i="3"/>
  <c r="O72" i="3" s="1"/>
  <c r="O74" i="3"/>
  <c r="L616" i="1"/>
  <c r="O616" i="1" s="1"/>
  <c r="P602" i="1"/>
  <c r="Q320" i="1"/>
  <c r="T320" i="1" s="1"/>
  <c r="R173" i="2"/>
  <c r="U173" i="2" s="1"/>
  <c r="P536" i="1"/>
  <c r="T26" i="1"/>
  <c r="R690" i="1"/>
  <c r="S534" i="1"/>
  <c r="Q157" i="1"/>
  <c r="T157" i="1" s="1"/>
  <c r="M555" i="3"/>
  <c r="P555" i="3" s="1"/>
  <c r="L513" i="3"/>
  <c r="O513" i="3" s="1"/>
  <c r="U692" i="3"/>
  <c r="M375" i="3"/>
  <c r="P375" i="3" s="1"/>
  <c r="T119" i="1"/>
  <c r="O359" i="3"/>
  <c r="P305" i="3"/>
  <c r="M303" i="3"/>
  <c r="P303" i="3" s="1"/>
  <c r="T269" i="3"/>
  <c r="U186" i="3"/>
  <c r="U305" i="3"/>
  <c r="Q20" i="3"/>
  <c r="T23" i="3"/>
  <c r="Q21" i="3"/>
  <c r="P601" i="3"/>
  <c r="M599" i="3"/>
  <c r="P599" i="3" s="1"/>
  <c r="Q728" i="1"/>
  <c r="S413" i="3"/>
  <c r="U413" i="3" s="1"/>
  <c r="P186" i="3"/>
  <c r="U619" i="3"/>
  <c r="O495" i="1"/>
  <c r="O322" i="1"/>
  <c r="T176" i="1"/>
  <c r="U97" i="1"/>
  <c r="Q117" i="1"/>
  <c r="O578" i="2"/>
  <c r="U762" i="2"/>
  <c r="J458" i="1"/>
  <c r="K458" i="1" s="1"/>
  <c r="U96" i="1"/>
  <c r="O188" i="1"/>
  <c r="O62" i="1"/>
  <c r="S94" i="1"/>
  <c r="P305" i="2"/>
  <c r="T141" i="1"/>
  <c r="L20" i="3"/>
  <c r="O23" i="3"/>
  <c r="P23" i="3"/>
  <c r="M20" i="3"/>
  <c r="Q173" i="3"/>
  <c r="T173" i="3" s="1"/>
  <c r="U26" i="3"/>
  <c r="P159" i="3"/>
  <c r="M157" i="3"/>
  <c r="P157" i="3" s="1"/>
  <c r="K253" i="3"/>
  <c r="I231" i="3"/>
  <c r="R642" i="3"/>
  <c r="U642" i="3" s="1"/>
  <c r="U416" i="3"/>
  <c r="J615" i="3"/>
  <c r="K615" i="3" s="1"/>
  <c r="K626" i="3"/>
  <c r="L555" i="3"/>
  <c r="O555" i="3" s="1"/>
  <c r="Q642" i="3"/>
  <c r="T642" i="3" s="1"/>
  <c r="R690" i="3"/>
  <c r="L303" i="1"/>
  <c r="O303" i="1" s="1"/>
  <c r="O356" i="3"/>
  <c r="T692" i="1"/>
  <c r="P306" i="1"/>
  <c r="P269" i="1"/>
  <c r="T495" i="1"/>
  <c r="R392" i="2"/>
  <c r="U392" i="2" s="1"/>
  <c r="M513" i="2"/>
  <c r="P513" i="2" s="1"/>
  <c r="L157" i="2"/>
  <c r="O157" i="2" s="1"/>
  <c r="U763" i="2"/>
  <c r="O536" i="1"/>
  <c r="P62" i="1"/>
  <c r="M493" i="2"/>
  <c r="P493" i="2" s="1"/>
  <c r="R20" i="3"/>
  <c r="U23" i="3"/>
  <c r="Q157" i="3"/>
  <c r="T157" i="3" s="1"/>
  <c r="L24" i="3"/>
  <c r="O24" i="3" s="1"/>
  <c r="M72" i="3"/>
  <c r="P72" i="3" s="1"/>
  <c r="R157" i="3"/>
  <c r="U157" i="3" s="1"/>
  <c r="K82" i="3"/>
  <c r="I70" i="3"/>
  <c r="K70" i="3" s="1"/>
  <c r="U74" i="3"/>
  <c r="N266" i="3"/>
  <c r="O266" i="3" s="1"/>
  <c r="U19" i="3"/>
  <c r="Q24" i="3"/>
  <c r="T24" i="3" s="1"/>
  <c r="T26" i="3"/>
  <c r="R616" i="3"/>
  <c r="U616" i="3" s="1"/>
  <c r="U618" i="3"/>
  <c r="L157" i="3"/>
  <c r="O157" i="3" s="1"/>
  <c r="N21" i="3"/>
  <c r="P21" i="3" s="1"/>
  <c r="N20" i="3"/>
  <c r="N18" i="3" s="1"/>
  <c r="P139" i="3"/>
  <c r="Q333" i="1"/>
  <c r="T333" i="1" s="1"/>
  <c r="T23" i="1"/>
  <c r="O46" i="2"/>
  <c r="Q72" i="2"/>
  <c r="T72" i="2" s="1"/>
  <c r="O358" i="2"/>
  <c r="S157" i="1"/>
  <c r="L19" i="1"/>
  <c r="O19" i="1" s="1"/>
  <c r="U616" i="2"/>
  <c r="L266" i="1"/>
  <c r="P74" i="1"/>
  <c r="U730" i="2"/>
  <c r="O601" i="1"/>
  <c r="N282" i="1"/>
  <c r="P141" i="3"/>
  <c r="Q117" i="3"/>
  <c r="T117" i="3" s="1"/>
  <c r="L44" i="3"/>
  <c r="O46" i="3"/>
  <c r="U173" i="3"/>
  <c r="R139" i="3"/>
  <c r="U139" i="3" s="1"/>
  <c r="R21" i="3"/>
  <c r="M59" i="3"/>
  <c r="P59" i="3" s="1"/>
  <c r="T692" i="3"/>
  <c r="S690" i="3"/>
  <c r="T690" i="3" s="1"/>
  <c r="T618" i="3"/>
  <c r="L232" i="3"/>
  <c r="O243" i="3"/>
  <c r="S760" i="1"/>
  <c r="K701" i="1"/>
  <c r="R493" i="1"/>
  <c r="O323" i="1"/>
  <c r="O189" i="1"/>
  <c r="U269" i="1"/>
  <c r="R72" i="2"/>
  <c r="U72" i="2" s="1"/>
  <c r="L555" i="2"/>
  <c r="O555" i="2" s="1"/>
  <c r="T763" i="2"/>
  <c r="M72" i="1"/>
  <c r="O602" i="1"/>
  <c r="O141" i="3"/>
  <c r="I71" i="3"/>
  <c r="K71" i="3" s="1"/>
  <c r="K83" i="3"/>
  <c r="L59" i="3"/>
  <c r="O59" i="3" s="1"/>
  <c r="O61" i="3"/>
  <c r="R94" i="3"/>
  <c r="U94" i="3" s="1"/>
  <c r="L173" i="3"/>
  <c r="O173" i="3" s="1"/>
  <c r="S21" i="3"/>
  <c r="U24" i="3"/>
  <c r="Q760" i="3"/>
  <c r="T760" i="3" s="1"/>
  <c r="T762" i="3"/>
  <c r="P119" i="3"/>
  <c r="M117" i="3"/>
  <c r="P117" i="3" s="1"/>
  <c r="M513" i="3"/>
  <c r="P513" i="3" s="1"/>
  <c r="P515" i="3"/>
  <c r="M333" i="3"/>
  <c r="P335" i="3"/>
  <c r="T616" i="3"/>
  <c r="R24" i="2"/>
  <c r="U24" i="2" s="1"/>
  <c r="U618" i="2"/>
  <c r="L760" i="1"/>
  <c r="O760" i="1" s="1"/>
  <c r="N266" i="1"/>
  <c r="P266" i="1" s="1"/>
  <c r="T120" i="1"/>
  <c r="O284" i="1"/>
  <c r="O267" i="1"/>
  <c r="M72" i="2"/>
  <c r="P72" i="2" s="1"/>
  <c r="L282" i="2"/>
  <c r="O282" i="2" s="1"/>
  <c r="O557" i="1"/>
  <c r="U120" i="1"/>
  <c r="O268" i="1"/>
  <c r="P65" i="1"/>
  <c r="T141" i="2"/>
  <c r="Q139" i="2"/>
  <c r="T139" i="2" s="1"/>
  <c r="L513" i="1"/>
  <c r="O513" i="1" s="1"/>
  <c r="N555" i="1"/>
  <c r="R282" i="1"/>
  <c r="U282" i="1" s="1"/>
  <c r="K82" i="1"/>
  <c r="M24" i="2"/>
  <c r="P24" i="2" s="1"/>
  <c r="O175" i="2"/>
  <c r="P359" i="2"/>
  <c r="U415" i="2"/>
  <c r="M599" i="2"/>
  <c r="P599" i="2" s="1"/>
  <c r="S642" i="1"/>
  <c r="O65" i="1"/>
  <c r="P60" i="1"/>
  <c r="Q173" i="2"/>
  <c r="T173" i="2" s="1"/>
  <c r="Q493" i="2"/>
  <c r="T493" i="2" s="1"/>
  <c r="Q576" i="1"/>
  <c r="T576" i="1" s="1"/>
  <c r="L117" i="2"/>
  <c r="O117" i="2" s="1"/>
  <c r="O496" i="1"/>
  <c r="R19" i="1"/>
  <c r="U19" i="1" s="1"/>
  <c r="S139" i="1"/>
  <c r="Q392" i="1"/>
  <c r="T392" i="1" s="1"/>
  <c r="L21" i="1"/>
  <c r="I70" i="2"/>
  <c r="K70" i="2" s="1"/>
  <c r="I231" i="2"/>
  <c r="Q599" i="2"/>
  <c r="T599" i="2" s="1"/>
  <c r="N173" i="1"/>
  <c r="U141" i="1"/>
  <c r="U416" i="2"/>
  <c r="O62" i="2"/>
  <c r="T357" i="1"/>
  <c r="Q356" i="1"/>
  <c r="T356" i="1" s="1"/>
  <c r="T377" i="2"/>
  <c r="Q375" i="2"/>
  <c r="T375" i="2" s="1"/>
  <c r="R760" i="1"/>
  <c r="L493" i="1"/>
  <c r="R186" i="1"/>
  <c r="L94" i="2"/>
  <c r="O94" i="2" s="1"/>
  <c r="Q117" i="2"/>
  <c r="T117" i="2" s="1"/>
  <c r="O305" i="2"/>
  <c r="T690" i="2"/>
  <c r="P496" i="1"/>
  <c r="U378" i="1"/>
  <c r="K457" i="2"/>
  <c r="U19" i="2"/>
  <c r="O416" i="2"/>
  <c r="P416" i="2"/>
  <c r="R642" i="2"/>
  <c r="U644" i="2"/>
  <c r="P358" i="2"/>
  <c r="M356" i="2"/>
  <c r="P356" i="2" s="1"/>
  <c r="R117" i="2"/>
  <c r="U117" i="2" s="1"/>
  <c r="O61" i="2"/>
  <c r="M44" i="2"/>
  <c r="T26" i="2"/>
  <c r="Q24" i="2"/>
  <c r="T24" i="2" s="1"/>
  <c r="Q94" i="2"/>
  <c r="T94" i="2" s="1"/>
  <c r="L24" i="2"/>
  <c r="O24" i="2" s="1"/>
  <c r="O359" i="2"/>
  <c r="M555" i="2"/>
  <c r="P555" i="2" s="1"/>
  <c r="M173" i="2"/>
  <c r="P173" i="2" s="1"/>
  <c r="P175" i="2"/>
  <c r="T692" i="2"/>
  <c r="L642" i="1"/>
  <c r="O642" i="1" s="1"/>
  <c r="O643" i="1"/>
  <c r="M157" i="1"/>
  <c r="P158" i="1"/>
  <c r="K83" i="1"/>
  <c r="J71" i="1"/>
  <c r="K71" i="1" s="1"/>
  <c r="N59" i="1"/>
  <c r="U21" i="2"/>
  <c r="P413" i="2"/>
  <c r="N21" i="2"/>
  <c r="O21" i="2" s="1"/>
  <c r="N20" i="2"/>
  <c r="N18" i="2" s="1"/>
  <c r="M576" i="2"/>
  <c r="P576" i="2" s="1"/>
  <c r="P578" i="2"/>
  <c r="Q493" i="1"/>
  <c r="T493" i="1" s="1"/>
  <c r="S413" i="1"/>
  <c r="O142" i="1"/>
  <c r="P44" i="1"/>
  <c r="P61" i="2"/>
  <c r="T19" i="2"/>
  <c r="M139" i="2"/>
  <c r="P139" i="2" s="1"/>
  <c r="P142" i="1"/>
  <c r="R139" i="1"/>
  <c r="M94" i="1"/>
  <c r="P94" i="1" s="1"/>
  <c r="P46" i="1"/>
  <c r="P23" i="2"/>
  <c r="M20" i="2"/>
  <c r="M18" i="2" s="1"/>
  <c r="P119" i="2"/>
  <c r="M117" i="2"/>
  <c r="P117" i="2" s="1"/>
  <c r="L139" i="2"/>
  <c r="O139" i="2" s="1"/>
  <c r="T266" i="2"/>
  <c r="R94" i="2"/>
  <c r="U94" i="2" s="1"/>
  <c r="O254" i="2"/>
  <c r="L232" i="2"/>
  <c r="U377" i="2"/>
  <c r="R375" i="2"/>
  <c r="U375" i="2" s="1"/>
  <c r="O333" i="2"/>
  <c r="T305" i="2"/>
  <c r="Q303" i="2"/>
  <c r="O335" i="2"/>
  <c r="P188" i="2"/>
  <c r="O536" i="2"/>
  <c r="L534" i="2"/>
  <c r="O534" i="2" s="1"/>
  <c r="L513" i="2"/>
  <c r="O513" i="2" s="1"/>
  <c r="O515" i="2"/>
  <c r="T618" i="2"/>
  <c r="N186" i="2"/>
  <c r="P186" i="2" s="1"/>
  <c r="R642" i="1"/>
  <c r="U644" i="1"/>
  <c r="P96" i="2"/>
  <c r="M94" i="2"/>
  <c r="P94" i="2" s="1"/>
  <c r="R375" i="1"/>
  <c r="U375" i="1" s="1"/>
  <c r="U376" i="1"/>
  <c r="P378" i="1"/>
  <c r="Q20" i="2"/>
  <c r="T23" i="2"/>
  <c r="Q21" i="2"/>
  <c r="T21" i="2" s="1"/>
  <c r="O59" i="2"/>
  <c r="N44" i="2"/>
  <c r="P333" i="2"/>
  <c r="M320" i="2"/>
  <c r="P320" i="2" s="1"/>
  <c r="M117" i="1"/>
  <c r="P117" i="1" s="1"/>
  <c r="P119" i="1"/>
  <c r="P321" i="1"/>
  <c r="M320" i="1"/>
  <c r="P320" i="1" s="1"/>
  <c r="O579" i="1"/>
  <c r="P561" i="1"/>
  <c r="O359" i="1"/>
  <c r="L186" i="1"/>
  <c r="P175" i="1"/>
  <c r="O22" i="1"/>
  <c r="L20" i="2"/>
  <c r="L18" i="2" s="1"/>
  <c r="O23" i="2"/>
  <c r="S20" i="2"/>
  <c r="S18" i="2" s="1"/>
  <c r="R157" i="2"/>
  <c r="U157" i="2" s="1"/>
  <c r="M59" i="2"/>
  <c r="P59" i="2" s="1"/>
  <c r="L320" i="2"/>
  <c r="O320" i="2" s="1"/>
  <c r="Q392" i="2"/>
  <c r="T392" i="2" s="1"/>
  <c r="O415" i="2"/>
  <c r="P282" i="2"/>
  <c r="S642" i="2"/>
  <c r="T642" i="2" s="1"/>
  <c r="R760" i="2"/>
  <c r="U760" i="2" s="1"/>
  <c r="U692" i="2"/>
  <c r="R690" i="2"/>
  <c r="U690" i="2" s="1"/>
  <c r="P691" i="1"/>
  <c r="M690" i="1"/>
  <c r="P690" i="1" s="1"/>
  <c r="S24" i="1"/>
  <c r="P377" i="1"/>
  <c r="M375" i="1"/>
  <c r="P415" i="2"/>
  <c r="U645" i="2"/>
  <c r="P159" i="2"/>
  <c r="M157" i="2"/>
  <c r="P157" i="2" s="1"/>
  <c r="U600" i="1"/>
  <c r="R599" i="1"/>
  <c r="U599" i="1" s="1"/>
  <c r="N24" i="1"/>
  <c r="L173" i="2"/>
  <c r="O173" i="2" s="1"/>
  <c r="O376" i="1"/>
  <c r="L375" i="1"/>
  <c r="T267" i="1"/>
  <c r="Q266" i="1"/>
  <c r="T266" i="1" s="1"/>
  <c r="U415" i="1"/>
  <c r="L282" i="1"/>
  <c r="R20" i="2"/>
  <c r="U23" i="2"/>
  <c r="O19" i="2"/>
  <c r="P19" i="2"/>
  <c r="Q157" i="2"/>
  <c r="T157" i="2" s="1"/>
  <c r="P335" i="2"/>
  <c r="R266" i="2"/>
  <c r="U266" i="2" s="1"/>
  <c r="L493" i="2"/>
  <c r="O493" i="2" s="1"/>
  <c r="N303" i="2"/>
  <c r="P729" i="1"/>
  <c r="M728" i="1"/>
  <c r="P728" i="1" s="1"/>
  <c r="M534" i="2"/>
  <c r="P534" i="2" s="1"/>
  <c r="P536" i="2"/>
  <c r="T600" i="1"/>
  <c r="Q599" i="1"/>
  <c r="T599" i="1" s="1"/>
  <c r="T535" i="1"/>
  <c r="Q534" i="1"/>
  <c r="T534" i="1" s="1"/>
  <c r="T305" i="1"/>
  <c r="Q303" i="1"/>
  <c r="T140" i="1"/>
  <c r="Q139" i="1"/>
  <c r="P334" i="1"/>
  <c r="M333" i="1"/>
  <c r="Q760" i="2"/>
  <c r="T760" i="2" s="1"/>
  <c r="T762" i="2"/>
  <c r="O61" i="1"/>
  <c r="J423" i="1"/>
  <c r="K440" i="1"/>
  <c r="M21" i="1"/>
  <c r="M19" i="1"/>
  <c r="P22" i="1"/>
  <c r="T22" i="1"/>
  <c r="Q21" i="1"/>
  <c r="Q19" i="1"/>
  <c r="O730" i="1"/>
  <c r="L728" i="1"/>
  <c r="O728" i="1" s="1"/>
  <c r="O556" i="1"/>
  <c r="L555" i="1"/>
  <c r="P535" i="1"/>
  <c r="M534" i="1"/>
  <c r="P414" i="1"/>
  <c r="M413" i="1"/>
  <c r="P413" i="1" s="1"/>
  <c r="L44" i="1"/>
  <c r="O44" i="1" s="1"/>
  <c r="O46" i="1"/>
  <c r="M186" i="1"/>
  <c r="M303" i="1"/>
  <c r="P303" i="1" s="1"/>
  <c r="P304" i="1"/>
  <c r="T187" i="1"/>
  <c r="Q186" i="1"/>
  <c r="O140" i="1"/>
  <c r="L139" i="1"/>
  <c r="O139" i="1" s="1"/>
  <c r="O716" i="1"/>
  <c r="L714" i="1"/>
  <c r="O714" i="1" s="1"/>
  <c r="T617" i="1"/>
  <c r="Q616" i="1"/>
  <c r="P577" i="1"/>
  <c r="M576" i="1"/>
  <c r="L413" i="1"/>
  <c r="O413" i="1" s="1"/>
  <c r="O414" i="1"/>
  <c r="R117" i="1"/>
  <c r="U119" i="1"/>
  <c r="O26" i="1"/>
  <c r="O174" i="1"/>
  <c r="L173" i="1"/>
  <c r="O95" i="1"/>
  <c r="L94" i="1"/>
  <c r="O94" i="1" s="1"/>
  <c r="R24" i="1"/>
  <c r="U25" i="1"/>
  <c r="U23" i="1"/>
  <c r="R20" i="1"/>
  <c r="P26" i="1"/>
  <c r="P140" i="1"/>
  <c r="M139" i="1"/>
  <c r="P139" i="1" s="1"/>
  <c r="U95" i="1"/>
  <c r="R94" i="1"/>
  <c r="Q44" i="1"/>
  <c r="T44" i="1" s="1"/>
  <c r="N19" i="1"/>
  <c r="N21" i="1"/>
  <c r="N356" i="1"/>
  <c r="O356" i="1" s="1"/>
  <c r="O358" i="1"/>
  <c r="U577" i="1"/>
  <c r="R576" i="1"/>
  <c r="U576" i="1" s="1"/>
  <c r="T644" i="1"/>
  <c r="Q642" i="1"/>
  <c r="U730" i="1"/>
  <c r="R728" i="1"/>
  <c r="O561" i="1"/>
  <c r="N20" i="1"/>
  <c r="O393" i="1"/>
  <c r="L392" i="1"/>
  <c r="O392" i="1" s="1"/>
  <c r="U393" i="1"/>
  <c r="R392" i="1"/>
  <c r="U392" i="1" s="1"/>
  <c r="T25" i="1"/>
  <c r="Q24" i="1"/>
  <c r="O23" i="1"/>
  <c r="S616" i="1"/>
  <c r="U616" i="1" s="1"/>
  <c r="T618" i="1"/>
  <c r="Q72" i="1"/>
  <c r="T72" i="1" s="1"/>
  <c r="T74" i="1"/>
  <c r="U618" i="1"/>
  <c r="U763" i="1"/>
  <c r="U357" i="1"/>
  <c r="R356" i="1"/>
  <c r="U356" i="1" s="1"/>
  <c r="L117" i="1"/>
  <c r="O117" i="1" s="1"/>
  <c r="O119" i="1"/>
  <c r="U414" i="1"/>
  <c r="R413" i="1"/>
  <c r="M392" i="1"/>
  <c r="P392" i="1" s="1"/>
  <c r="L576" i="1"/>
  <c r="O577" i="1"/>
  <c r="R72" i="1"/>
  <c r="U72" i="1" s="1"/>
  <c r="U74" i="1"/>
  <c r="P25" i="1"/>
  <c r="M24" i="1"/>
  <c r="P359" i="1"/>
  <c r="U175" i="1"/>
  <c r="T175" i="1"/>
  <c r="R157" i="1"/>
  <c r="U157" i="1" s="1"/>
  <c r="U158" i="1"/>
  <c r="O535" i="1"/>
  <c r="L534" i="1"/>
  <c r="R44" i="1"/>
  <c r="U44" i="1" s="1"/>
  <c r="U46" i="1"/>
  <c r="P761" i="1"/>
  <c r="M760" i="1"/>
  <c r="P760" i="1" s="1"/>
  <c r="P600" i="1"/>
  <c r="M599" i="1"/>
  <c r="P599" i="1" s="1"/>
  <c r="T557" i="1"/>
  <c r="Q555" i="1"/>
  <c r="T555" i="1" s="1"/>
  <c r="L72" i="1"/>
  <c r="O74" i="1"/>
  <c r="L333" i="1"/>
  <c r="O335" i="1"/>
  <c r="S21" i="1"/>
  <c r="S19" i="1"/>
  <c r="L157" i="1"/>
  <c r="O158" i="1"/>
  <c r="O269" i="1"/>
  <c r="P23" i="1"/>
  <c r="M20" i="1"/>
  <c r="U716" i="1"/>
  <c r="R714" i="1"/>
  <c r="U714" i="1" s="1"/>
  <c r="L24" i="1"/>
  <c r="O40" i="5" l="1"/>
  <c r="O375" i="1"/>
  <c r="T173" i="1"/>
  <c r="U493" i="1"/>
  <c r="P375" i="1"/>
  <c r="P40" i="16"/>
  <c r="O40" i="16"/>
  <c r="P40" i="18"/>
  <c r="O40" i="18"/>
  <c r="P40" i="17"/>
  <c r="O40" i="17"/>
  <c r="O40" i="12"/>
  <c r="P40" i="12"/>
  <c r="O40" i="9"/>
  <c r="P40" i="13"/>
  <c r="O40" i="15"/>
  <c r="P40" i="15"/>
  <c r="P493" i="1"/>
  <c r="T413" i="1"/>
  <c r="O40" i="14"/>
  <c r="O40" i="13"/>
  <c r="P40" i="14"/>
  <c r="P282" i="1"/>
  <c r="P40" i="11"/>
  <c r="O40" i="4"/>
  <c r="O40" i="11"/>
  <c r="O157" i="1"/>
  <c r="P40" i="10"/>
  <c r="O40" i="10"/>
  <c r="P333" i="3"/>
  <c r="O40" i="7"/>
  <c r="U117" i="1"/>
  <c r="O20" i="1"/>
  <c r="P333" i="1"/>
  <c r="P157" i="1"/>
  <c r="T117" i="1"/>
  <c r="O40" i="8"/>
  <c r="P40" i="8"/>
  <c r="P40" i="7"/>
  <c r="O72" i="1"/>
  <c r="U20" i="3"/>
  <c r="U690" i="1"/>
  <c r="T690" i="1"/>
  <c r="T303" i="2"/>
  <c r="O40" i="6"/>
  <c r="P40" i="6"/>
  <c r="O333" i="1"/>
  <c r="U728" i="1"/>
  <c r="U186" i="1"/>
  <c r="T20" i="1"/>
  <c r="T186" i="1"/>
  <c r="P555" i="1"/>
  <c r="T728" i="1"/>
  <c r="P40" i="4"/>
  <c r="T303" i="1"/>
  <c r="P40" i="5"/>
  <c r="T94" i="1"/>
  <c r="P72" i="1"/>
  <c r="U303" i="1"/>
  <c r="T413" i="3"/>
  <c r="S18" i="1"/>
  <c r="O186" i="1"/>
  <c r="T24" i="1"/>
  <c r="K457" i="1"/>
  <c r="U21" i="1"/>
  <c r="U20" i="1"/>
  <c r="P59" i="1"/>
  <c r="U94" i="1"/>
  <c r="P576" i="1"/>
  <c r="P186" i="1"/>
  <c r="U413" i="2"/>
  <c r="O493" i="1"/>
  <c r="T72" i="3"/>
  <c r="P282" i="3"/>
  <c r="O21" i="3"/>
  <c r="P24" i="1"/>
  <c r="P534" i="1"/>
  <c r="U20" i="2"/>
  <c r="L18" i="1"/>
  <c r="U690" i="3"/>
  <c r="O24" i="1"/>
  <c r="O266" i="1"/>
  <c r="N40" i="3"/>
  <c r="T642" i="1"/>
  <c r="O21" i="1"/>
  <c r="P173" i="1"/>
  <c r="R18" i="3"/>
  <c r="U18" i="3" s="1"/>
  <c r="O534" i="1"/>
  <c r="T760" i="1"/>
  <c r="P266" i="3"/>
  <c r="O576" i="1"/>
  <c r="O282" i="1"/>
  <c r="U139" i="1"/>
  <c r="P20" i="3"/>
  <c r="M18" i="3"/>
  <c r="P18" i="3" s="1"/>
  <c r="O173" i="1"/>
  <c r="T139" i="1"/>
  <c r="L40" i="3"/>
  <c r="O44" i="3"/>
  <c r="T21" i="3"/>
  <c r="K231" i="3"/>
  <c r="I185" i="3"/>
  <c r="K185" i="3" s="1"/>
  <c r="U760" i="1"/>
  <c r="U642" i="1"/>
  <c r="U21" i="3"/>
  <c r="M40" i="3"/>
  <c r="O20" i="3"/>
  <c r="L18" i="3"/>
  <c r="O18" i="3" s="1"/>
  <c r="Q18" i="3"/>
  <c r="T18" i="3" s="1"/>
  <c r="T20" i="3"/>
  <c r="K231" i="2"/>
  <c r="I185" i="2"/>
  <c r="K185" i="2" s="1"/>
  <c r="O555" i="1"/>
  <c r="O186" i="2"/>
  <c r="T20" i="2"/>
  <c r="U24" i="1"/>
  <c r="O59" i="1"/>
  <c r="U413" i="1"/>
  <c r="O303" i="2"/>
  <c r="P303" i="2"/>
  <c r="P18" i="2"/>
  <c r="Q18" i="2"/>
  <c r="T18" i="2" s="1"/>
  <c r="P21" i="2"/>
  <c r="R18" i="2"/>
  <c r="U18" i="2" s="1"/>
  <c r="N40" i="2"/>
  <c r="O44" i="2"/>
  <c r="R18" i="1"/>
  <c r="O18" i="2"/>
  <c r="U642" i="2"/>
  <c r="P20" i="1"/>
  <c r="M40" i="2"/>
  <c r="P44" i="2"/>
  <c r="O20" i="2"/>
  <c r="P20" i="2"/>
  <c r="L40" i="2"/>
  <c r="N18" i="1"/>
  <c r="T616" i="1"/>
  <c r="P19" i="1"/>
  <c r="M18" i="1"/>
  <c r="P356" i="1"/>
  <c r="P21" i="1"/>
  <c r="T19" i="1"/>
  <c r="Q18" i="1"/>
  <c r="T21" i="1"/>
  <c r="J412" i="1"/>
  <c r="K412" i="1" s="1"/>
  <c r="K423" i="1"/>
  <c r="U18" i="1" l="1"/>
  <c r="T18" i="1"/>
  <c r="O18" i="1"/>
  <c r="P40" i="2"/>
  <c r="P40" i="3"/>
  <c r="O40" i="3"/>
  <c r="O40" i="2"/>
  <c r="P18" i="1"/>
</calcChain>
</file>

<file path=xl/sharedStrings.xml><?xml version="1.0" encoding="utf-8"?>
<sst xmlns="http://schemas.openxmlformats.org/spreadsheetml/2006/main" count="23827" uniqueCount="347">
  <si>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</si>
  <si>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</si>
  <si>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</si>
  <si>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</si>
  <si>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</si>
  <si>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</si>
  <si>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</si>
  <si>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</si>
  <si>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</si>
  <si>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</si>
  <si>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</si>
  <si>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</si>
  <si>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</si>
  <si>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</si>
  <si>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</si>
  <si>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</si>
  <si>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</si>
  <si>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</si>
  <si>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</si>
  <si>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</si>
  <si>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</si>
  <si>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</si>
  <si>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</si>
  <si>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</si>
  <si>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</si>
  <si>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</si>
  <si>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</si>
  <si>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</si>
  <si>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</si>
  <si>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</si>
  <si>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</si>
  <si>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</si>
  <si>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</si>
  <si>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</si>
  <si>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</si>
  <si>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</si>
  <si>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</si>
  <si>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</si>
  <si>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</si>
  <si>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</si>
  <si>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</si>
  <si>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</si>
  <si>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</si>
  <si>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</si>
  <si>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</si>
  <si>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</si>
  <si>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</si>
  <si>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</si>
  <si>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</si>
  <si>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</si>
  <si>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</si>
  <si>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</si>
  <si>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</si>
  <si>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</si>
  <si>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</si>
  <si>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</si>
  <si>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</si>
  <si>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</si>
  <si>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</si>
  <si>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</si>
  <si>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</si>
  <si>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</si>
  <si>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</si>
  <si>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</si>
  <si>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</si>
  <si>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</si>
  <si>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</si>
  <si>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</si>
  <si>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</si>
  <si>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</si>
  <si>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</si>
  <si>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</si>
  <si>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</si>
  <si>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</si>
  <si>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</si>
  <si>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</si>
  <si>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</si>
  <si>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</si>
  <si>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</si>
  <si>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</si>
  <si>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</si>
  <si>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</si>
  <si>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</si>
  <si>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</si>
  <si>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</si>
  <si>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</si>
  <si>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</si>
  <si>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</si>
  <si>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</si>
  <si>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</si>
  <si>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</si>
  <si>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</si>
  <si>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</si>
  <si>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</si>
  <si>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</si>
  <si>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</si>
  <si>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</si>
  <si>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</si>
  <si>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</si>
  <si>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</si>
  <si>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</si>
  <si>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</si>
  <si>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</si>
  <si>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</si>
  <si>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</si>
  <si>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</si>
  <si>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</si>
  <si>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</si>
  <si>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</si>
  <si>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</si>
  <si>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</si>
  <si>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</si>
  <si>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</si>
  <si>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</si>
  <si>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</si>
  <si>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</si>
  <si>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</si>
  <si>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</si>
  <si>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</si>
  <si>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</si>
  <si>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</si>
  <si>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</si>
  <si>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</si>
  <si>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</si>
  <si>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</si>
  <si>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</si>
  <si>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</si>
  <si>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</si>
  <si>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</si>
  <si>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</si>
  <si>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</si>
  <si>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</si>
  <si>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</si>
  <si>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</si>
  <si>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</si>
  <si>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</si>
  <si>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</si>
  <si>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</si>
  <si>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</si>
  <si>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</si>
  <si>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</si>
  <si>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</si>
  <si>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</si>
  <si>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</si>
  <si>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</si>
  <si>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</si>
  <si>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</si>
  <si>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</si>
  <si>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</si>
  <si>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</si>
  <si>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</si>
  <si>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</si>
  <si>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</si>
  <si>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</si>
  <si>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</si>
  <si>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</si>
  <si>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</si>
  <si>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</si>
  <si>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</si>
  <si>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</si>
  <si>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</si>
  <si>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</si>
  <si>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</si>
  <si>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</si>
  <si>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</si>
  <si>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</si>
  <si>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</si>
  <si>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</si>
  <si>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</si>
  <si>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</si>
  <si>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</si>
  <si>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</si>
  <si>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</si>
  <si>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</si>
  <si>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</si>
  <si>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</si>
  <si>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</si>
  <si>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</si>
  <si>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</si>
  <si>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</si>
  <si>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</si>
  <si>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</si>
  <si>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</si>
  <si>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</si>
  <si>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</si>
  <si>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</si>
  <si>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</si>
  <si>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</si>
  <si>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</si>
  <si>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</si>
  <si>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</si>
  <si>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</si>
  <si>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</si>
  <si>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</si>
  <si>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</si>
  <si>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</si>
  <si>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</si>
  <si>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</si>
  <si>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</si>
  <si>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</si>
  <si>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</si>
  <si>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</si>
  <si>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</si>
  <si>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</si>
  <si>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</si>
  <si>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</si>
  <si>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</si>
  <si>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</si>
  <si>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</si>
  <si>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</si>
  <si>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</si>
  <si>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</si>
  <si>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</si>
  <si>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</si>
  <si>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</si>
  <si>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</si>
  <si>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</si>
  <si>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</si>
  <si>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</si>
  <si>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</si>
  <si>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</si>
  <si>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</si>
  <si>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</si>
  <si>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</si>
  <si>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</si>
  <si>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</si>
  <si>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</si>
  <si>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</si>
  <si>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</si>
  <si>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</si>
  <si>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</si>
  <si>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</si>
  <si>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</si>
  <si>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</si>
  <si>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</si>
  <si>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</si>
  <si>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</si>
  <si>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</si>
  <si>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</si>
  <si>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</si>
  <si>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</si>
  <si>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</si>
  <si>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</si>
  <si>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</si>
  <si>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</si>
  <si>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</si>
  <si>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</si>
  <si>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</si>
  <si>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</si>
  <si>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</si>
  <si>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</si>
  <si>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</si>
  <si>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</si>
  <si>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</si>
  <si>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</si>
  <si>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</si>
  <si>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</si>
  <si>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</si>
  <si>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</si>
  <si>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</si>
  <si>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</si>
  <si>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</si>
  <si>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</si>
  <si>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</si>
  <si>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</si>
  <si>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</si>
  <si>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</si>
  <si>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</si>
  <si>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</si>
  <si>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</si>
  <si>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</si>
  <si>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</si>
  <si>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</si>
  <si>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</si>
  <si>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</si>
  <si>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</si>
  <si>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</si>
  <si>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</si>
  <si>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</si>
  <si>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</si>
  <si>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</si>
  <si>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</si>
  <si>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</si>
  <si>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</si>
  <si>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</si>
  <si>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</si>
  <si>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</si>
  <si>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</si>
  <si>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</si>
  <si>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</si>
  <si>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</si>
  <si>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</si>
  <si>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</si>
  <si>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</si>
  <si>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</si>
  <si>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</si>
  <si>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</si>
  <si>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</si>
  <si>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</si>
  <si>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</si>
  <si>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</si>
  <si>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</si>
  <si>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</si>
  <si>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</si>
  <si>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</si>
  <si>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</si>
  <si>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</si>
  <si>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</si>
  <si>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</si>
  <si>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</si>
  <si>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</si>
  <si>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</si>
  <si>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</si>
  <si>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</si>
  <si>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แผนงานยุทธศาสตร์พัฒนาและส่งเสริมเศรษฐกิจฐานราก</t>
  </si>
  <si>
    <r>
      <rPr>
        <b/>
        <sz val="15"/>
        <color theme="1"/>
        <rFont val="Arial"/>
      </rPr>
      <t>หลักสูตร</t>
    </r>
    <r>
      <rPr>
        <sz val="15"/>
        <color theme="1"/>
        <rFont val="Arial"/>
      </rPr>
      <t xml:space="preserve"> การบริหารจัดการเศษวัสดุเหลือใช้ฯ</t>
    </r>
  </si>
  <si>
    <t>- ค่าจ้างเหมารถยนต์ขนส่งกล้า และค่าจ้างเหมาแรงงาน</t>
  </si>
  <si>
    <t>- ค่าใช้จ่ายในการบริหารงาน</t>
  </si>
  <si>
    <t>- ค่าจ้างเหมาบริการ</t>
  </si>
  <si>
    <t>สำนักงานการปฏิรูปที่ดินจังหวัด กำแพงเพชร</t>
  </si>
  <si>
    <t>- งบบริหารโครงการ</t>
  </si>
  <si>
    <t>สำนักงานการปฏิรูปที่ดินจังหวัด เชียงราย</t>
  </si>
  <si>
    <t>(5) โครงการธนาคารอาหารชุมชน (เกษตรวิชญา)</t>
  </si>
  <si>
    <t>สำนักงานการปฏิรูปที่ดินจังหวัด เชียงใหม่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</si>
  <si>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</si>
  <si>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</si>
  <si>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- ค่าเบี้ยเลี้ยง ที่พัก พาหนะ</t>
  </si>
  <si>
    <t>(6) โครงการปิดทองหลังพระตามพระราชดำริฯ</t>
  </si>
  <si>
    <t>(5) โครงการศูนย์ภูฟ้าพัฒนาตามพระราชดำริฯ</t>
  </si>
  <si>
    <t>สำนักงานการปฏิรูปที่ดินจังหวัด น่าน</t>
  </si>
  <si>
    <t xml:space="preserve"> กิจกรรมการจัดที่ดินเอกชน </t>
  </si>
  <si>
    <t>ราย/แปลง</t>
  </si>
  <si>
    <t>(5) โครงการศูนย์เรียนรู้การพัฒนาเกษตรอ่างเก็บน้ำห้วยไฟฯ</t>
  </si>
  <si>
    <t>สำนักงานการปฏิรูปที่ดินจังหวัด พะเยา</t>
  </si>
  <si>
    <t>- จำนวนผู้มารับบริการ (ด้านอื่น ๆ ที่ไม่ใช่การให้บริการด้านโฉนด)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</si>
  <si>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</si>
  <si>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</si>
  <si>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</si>
  <si>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</si>
  <si>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</si>
  <si>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</si>
  <si>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</si>
  <si>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</si>
  <si>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</si>
  <si>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</si>
  <si>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</si>
  <si>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31 สิงหาคม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</si>
</sst>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20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5" fontId="5" fillId="6" borderId="2" xfId="0" applyNumberFormat="1" applyFont="1" applyFill="1" applyBorder="1" applyAlignment="1">
      <alignment horizontal="center"/>
    </xf>
    <xf numFmtId="164" fontId="5" fillId="6" borderId="2" xfId="0" applyNumberFormat="1" applyFont="1" applyFill="1" applyBorder="1" applyAlignment="1">
      <alignment horizontal="center" wrapText="1"/>
    </xf>
    <xf numFmtId="165" fontId="5" fillId="7" borderId="2" xfId="0" applyNumberFormat="1" applyFont="1" applyFill="1" applyBorder="1" applyAlignment="1">
      <alignment horizontal="center" wrapText="1"/>
    </xf>
    <xf numFmtId="165" fontId="5" fillId="9" borderId="2" xfId="0" applyNumberFormat="1" applyFont="1" applyFill="1" applyBorder="1" applyAlignment="1">
      <alignment horizontal="center" wrapText="1"/>
    </xf>
    <xf numFmtId="165" fontId="5" fillId="8" borderId="2" xfId="0" applyNumberFormat="1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165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6" fontId="2" fillId="10" borderId="10" xfId="0" applyNumberFormat="1" applyFont="1" applyFill="1" applyBorder="1"/>
    <xf numFmtId="165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6" fontId="2" fillId="12" borderId="10" xfId="0" applyNumberFormat="1" applyFont="1" applyFill="1" applyBorder="1"/>
    <xf numFmtId="165" fontId="2" fillId="12" borderId="10" xfId="0" applyNumberFormat="1" applyFont="1" applyFill="1" applyBorder="1"/>
    <xf numFmtId="165" fontId="5" fillId="12" borderId="10" xfId="0" applyNumberFormat="1" applyFont="1" applyFill="1" applyBorder="1"/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5" fontId="8" fillId="12" borderId="10" xfId="0" applyNumberFormat="1" applyFont="1" applyFill="1" applyBorder="1"/>
    <xf numFmtId="165" fontId="7" fillId="12" borderId="10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6" fontId="2" fillId="2" borderId="10" xfId="0" applyNumberFormat="1" applyFont="1" applyFill="1" applyBorder="1"/>
    <xf numFmtId="165" fontId="2" fillId="2" borderId="10" xfId="0" applyNumberFormat="1" applyFont="1" applyFill="1" applyBorder="1"/>
    <xf numFmtId="165" fontId="7" fillId="2" borderId="10" xfId="0" applyNumberFormat="1" applyFont="1" applyFill="1" applyBorder="1"/>
    <xf numFmtId="0" fontId="7" fillId="2" borderId="9" xfId="0" applyFont="1" applyFill="1" applyBorder="1"/>
    <xf numFmtId="165" fontId="8" fillId="2" borderId="10" xfId="0" applyNumberFormat="1" applyFont="1" applyFill="1" applyBorder="1"/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6" fontId="2" fillId="15" borderId="10" xfId="0" applyNumberFormat="1" applyFont="1" applyFill="1" applyBorder="1"/>
    <xf numFmtId="165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6" fontId="2" fillId="16" borderId="10" xfId="0" applyNumberFormat="1" applyFont="1" applyFill="1" applyBorder="1"/>
    <xf numFmtId="165" fontId="2" fillId="16" borderId="10" xfId="0" applyNumberFormat="1" applyFont="1" applyFill="1" applyBorder="1"/>
    <xf numFmtId="165" fontId="5" fillId="16" borderId="10" xfId="0" applyNumberFormat="1" applyFont="1" applyFill="1" applyBorder="1"/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5" fontId="8" fillId="16" borderId="10" xfId="0" applyNumberFormat="1" applyFont="1" applyFill="1" applyBorder="1"/>
    <xf numFmtId="165" fontId="7" fillId="16" borderId="10" xfId="0" applyNumberFormat="1" applyFont="1" applyFill="1" applyBorder="1"/>
    <xf numFmtId="165" fontId="8" fillId="2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6" fontId="2" fillId="18" borderId="10" xfId="0" applyNumberFormat="1" applyFont="1" applyFill="1" applyBorder="1"/>
    <xf numFmtId="165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6" fontId="2" fillId="19" borderId="10" xfId="0" applyNumberFormat="1" applyFont="1" applyFill="1" applyBorder="1"/>
    <xf numFmtId="165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6" fontId="2" fillId="20" borderId="10" xfId="0" applyNumberFormat="1" applyFont="1" applyFill="1" applyBorder="1"/>
    <xf numFmtId="165" fontId="2" fillId="20" borderId="10" xfId="0" applyNumberFormat="1" applyFont="1" applyFill="1" applyBorder="1"/>
    <xf numFmtId="165" fontId="5" fillId="20" borderId="10" xfId="0" applyNumberFormat="1" applyFont="1" applyFill="1" applyBorder="1"/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5" fontId="7" fillId="20" borderId="10" xfId="0" applyNumberFormat="1" applyFont="1" applyFill="1" applyBorder="1"/>
    <xf numFmtId="165" fontId="8" fillId="20" borderId="10" xfId="0" applyNumberFormat="1" applyFont="1" applyFill="1" applyBorder="1"/>
    <xf numFmtId="165" fontId="7" fillId="2" borderId="2" xfId="0" applyNumberFormat="1" applyFont="1" applyFill="1" applyBorder="1"/>
    <xf numFmtId="164" fontId="5" fillId="21" borderId="7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5" fillId="22" borderId="8" xfId="0" applyNumberFormat="1" applyFont="1" applyFill="1" applyBorder="1"/>
    <xf numFmtId="0" fontId="2" fillId="22" borderId="9" xfId="0" applyFont="1" applyFill="1" applyBorder="1"/>
    <xf numFmtId="164" fontId="2" fillId="22" borderId="9" xfId="0" applyNumberFormat="1" applyFont="1" applyFill="1" applyBorder="1"/>
    <xf numFmtId="0" fontId="2" fillId="22" borderId="10" xfId="0" applyFont="1" applyFill="1" applyBorder="1"/>
    <xf numFmtId="166" fontId="2" fillId="22" borderId="10" xfId="0" applyNumberFormat="1" applyFont="1" applyFill="1" applyBorder="1"/>
    <xf numFmtId="165" fontId="2" fillId="22" borderId="10" xfId="0" applyNumberFormat="1" applyFont="1" applyFill="1" applyBorder="1"/>
    <xf numFmtId="167" fontId="2" fillId="12" borderId="8" xfId="0" applyNumberFormat="1" applyFont="1" applyFill="1" applyBorder="1"/>
    <xf numFmtId="164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6" fontId="5" fillId="12" borderId="10" xfId="0" applyNumberFormat="1" applyFont="1" applyFill="1" applyBorder="1"/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4" fontId="5" fillId="2" borderId="10" xfId="0" applyNumberFormat="1" applyFont="1" applyFill="1" applyBorder="1" applyAlignment="1">
      <alignment horizontal="center"/>
    </xf>
    <xf numFmtId="165" fontId="5" fillId="2" borderId="10" xfId="0" applyNumberFormat="1" applyFont="1" applyFill="1" applyBorder="1"/>
    <xf numFmtId="164" fontId="7" fillId="2" borderId="10" xfId="0" applyNumberFormat="1" applyFont="1" applyFill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6" fontId="2" fillId="0" borderId="10" xfId="0" applyNumberFormat="1" applyFont="1" applyBorder="1"/>
    <xf numFmtId="165" fontId="2" fillId="0" borderId="10" xfId="0" applyNumberFormat="1" applyFont="1" applyBorder="1"/>
    <xf numFmtId="164" fontId="7" fillId="0" borderId="10" xfId="0" applyNumberFormat="1" applyFont="1" applyBorder="1" applyAlignment="1">
      <alignment horizontal="center"/>
    </xf>
    <xf numFmtId="164" fontId="2" fillId="0" borderId="8" xfId="0" applyNumberFormat="1" applyFont="1" applyBorder="1"/>
    <xf numFmtId="164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6" fontId="5" fillId="2" borderId="10" xfId="0" applyNumberFormat="1" applyFont="1" applyFill="1" applyBorder="1"/>
    <xf numFmtId="165" fontId="5" fillId="0" borderId="10" xfId="0" applyNumberFormat="1" applyFont="1" applyBorder="1"/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6" fontId="7" fillId="0" borderId="10" xfId="0" applyNumberFormat="1" applyFont="1" applyBorder="1"/>
    <xf numFmtId="165" fontId="7" fillId="0" borderId="10" xfId="0" applyNumberFormat="1" applyFont="1" applyBorder="1"/>
    <xf numFmtId="0" fontId="7" fillId="0" borderId="10" xfId="0" applyFont="1" applyBorder="1" applyAlignment="1">
      <alignment horizontal="center" wrapText="1"/>
    </xf>
    <xf numFmtId="164" fontId="2" fillId="22" borderId="10" xfId="0" applyNumberFormat="1" applyFont="1" applyFill="1" applyBorder="1"/>
    <xf numFmtId="164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4" fontId="8" fillId="2" borderId="10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8" fillId="0" borderId="10" xfId="0" applyNumberFormat="1" applyFont="1" applyBorder="1" applyAlignment="1">
      <alignment horizontal="center" wrapText="1"/>
    </xf>
    <xf numFmtId="164" fontId="15" fillId="2" borderId="9" xfId="0" applyNumberFormat="1" applyFont="1" applyFill="1" applyBorder="1"/>
    <xf numFmtId="164" fontId="5" fillId="2" borderId="9" xfId="0" applyNumberFormat="1" applyFont="1" applyFill="1" applyBorder="1"/>
    <xf numFmtId="164" fontId="2" fillId="10" borderId="8" xfId="0" applyNumberFormat="1" applyFont="1" applyFill="1" applyBorder="1"/>
    <xf numFmtId="164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6" fontId="7" fillId="2" borderId="10" xfId="0" applyNumberFormat="1" applyFont="1" applyFill="1" applyBorder="1"/>
    <xf numFmtId="166" fontId="7" fillId="24" borderId="10" xfId="0" applyNumberFormat="1" applyFont="1" applyFill="1" applyBorder="1"/>
    <xf numFmtId="167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2" fillId="22" borderId="9" xfId="0" applyNumberFormat="1" applyFont="1" applyFill="1" applyBorder="1"/>
    <xf numFmtId="164" fontId="5" fillId="12" borderId="9" xfId="0" applyNumberFormat="1" applyFont="1" applyFill="1" applyBorder="1"/>
    <xf numFmtId="167" fontId="2" fillId="12" borderId="9" xfId="0" applyNumberFormat="1" applyFont="1" applyFill="1" applyBorder="1"/>
    <xf numFmtId="164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4" fontId="7" fillId="2" borderId="10" xfId="0" applyNumberFormat="1" applyFont="1" applyFill="1" applyBorder="1" applyAlignment="1">
      <alignment horizontal="center" wrapText="1"/>
    </xf>
    <xf numFmtId="164" fontId="8" fillId="2" borderId="10" xfId="0" applyNumberFormat="1" applyFont="1" applyFill="1" applyBorder="1" applyAlignment="1">
      <alignment horizontal="center" wrapText="1"/>
    </xf>
    <xf numFmtId="164" fontId="16" fillId="2" borderId="9" xfId="0" applyNumberFormat="1" applyFont="1" applyFill="1" applyBorder="1" applyAlignment="1">
      <alignment horizontal="center"/>
    </xf>
    <xf numFmtId="164" fontId="2" fillId="0" borderId="10" xfId="0" applyNumberFormat="1" applyFont="1" applyBorder="1"/>
    <xf numFmtId="0" fontId="8" fillId="0" borderId="9" xfId="0" applyFont="1" applyBorder="1"/>
    <xf numFmtId="164" fontId="2" fillId="2" borderId="10" xfId="0" applyNumberFormat="1" applyFont="1" applyFill="1" applyBorder="1"/>
    <xf numFmtId="164" fontId="2" fillId="10" borderId="10" xfId="0" applyNumberFormat="1" applyFont="1" applyFill="1" applyBorder="1"/>
    <xf numFmtId="166" fontId="2" fillId="12" borderId="9" xfId="0" applyNumberFormat="1" applyFont="1" applyFill="1" applyBorder="1"/>
    <xf numFmtId="167" fontId="5" fillId="12" borderId="9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167" fontId="2" fillId="2" borderId="7" xfId="0" applyNumberFormat="1" applyFont="1" applyFill="1" applyBorder="1"/>
    <xf numFmtId="164" fontId="7" fillId="0" borderId="2" xfId="0" applyNumberFormat="1" applyFont="1" applyBorder="1" applyAlignment="1">
      <alignment horizontal="center"/>
    </xf>
    <xf numFmtId="166" fontId="7" fillId="2" borderId="2" xfId="0" applyNumberFormat="1" applyFont="1" applyFill="1" applyBorder="1"/>
    <xf numFmtId="166" fontId="7" fillId="2" borderId="2" xfId="0" applyNumberFormat="1" applyFont="1" applyFill="1" applyBorder="1" applyAlignment="1">
      <alignment horizontal="right"/>
    </xf>
    <xf numFmtId="164" fontId="5" fillId="9" borderId="7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5" fillId="25" borderId="8" xfId="0" applyNumberFormat="1" applyFont="1" applyFill="1" applyBorder="1"/>
    <xf numFmtId="164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6" fontId="2" fillId="25" borderId="10" xfId="0" applyNumberFormat="1" applyFont="1" applyFill="1" applyBorder="1"/>
    <xf numFmtId="165" fontId="2" fillId="25" borderId="10" xfId="0" applyNumberFormat="1" applyFont="1" applyFill="1" applyBorder="1"/>
    <xf numFmtId="164" fontId="2" fillId="23" borderId="8" xfId="0" applyNumberFormat="1" applyFont="1" applyFill="1" applyBorder="1"/>
    <xf numFmtId="0" fontId="5" fillId="23" borderId="9" xfId="0" applyFont="1" applyFill="1" applyBorder="1"/>
    <xf numFmtId="164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6" fontId="5" fillId="23" borderId="10" xfId="0" applyNumberFormat="1" applyFont="1" applyFill="1" applyBorder="1"/>
    <xf numFmtId="165" fontId="5" fillId="23" borderId="10" xfId="0" applyNumberFormat="1" applyFont="1" applyFill="1" applyBorder="1"/>
    <xf numFmtId="165" fontId="2" fillId="23" borderId="10" xfId="0" applyNumberFormat="1" applyFont="1" applyFill="1" applyBorder="1"/>
    <xf numFmtId="164" fontId="2" fillId="2" borderId="8" xfId="0" applyNumberFormat="1" applyFont="1" applyFill="1" applyBorder="1"/>
    <xf numFmtId="164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2" fillId="26" borderId="8" xfId="0" applyNumberFormat="1" applyFont="1" applyFill="1" applyBorder="1"/>
    <xf numFmtId="164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6" fontId="5" fillId="26" borderId="10" xfId="0" applyNumberFormat="1" applyFont="1" applyFill="1" applyBorder="1"/>
    <xf numFmtId="165" fontId="5" fillId="26" borderId="10" xfId="0" applyNumberFormat="1" applyFont="1" applyFill="1" applyBorder="1"/>
    <xf numFmtId="165" fontId="2" fillId="26" borderId="10" xfId="0" applyNumberFormat="1" applyFont="1" applyFill="1" applyBorder="1"/>
    <xf numFmtId="0" fontId="17" fillId="2" borderId="9" xfId="0" quotePrefix="1" applyFont="1" applyFill="1" applyBorder="1"/>
    <xf numFmtId="164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5" fontId="7" fillId="2" borderId="10" xfId="0" applyNumberFormat="1" applyFont="1" applyFill="1" applyBorder="1" applyAlignment="1">
      <alignment horizontal="right"/>
    </xf>
    <xf numFmtId="0" fontId="7" fillId="0" borderId="10" xfId="0" applyFont="1" applyBorder="1"/>
    <xf numFmtId="165" fontId="7" fillId="26" borderId="10" xfId="0" applyNumberFormat="1" applyFont="1" applyFill="1" applyBorder="1"/>
    <xf numFmtId="164" fontId="2" fillId="27" borderId="8" xfId="0" applyNumberFormat="1" applyFont="1" applyFill="1" applyBorder="1"/>
    <xf numFmtId="164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2" fillId="27" borderId="10" xfId="0" applyNumberFormat="1" applyFont="1" applyFill="1" applyBorder="1"/>
    <xf numFmtId="164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4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4" fontId="8" fillId="27" borderId="10" xfId="0" applyNumberFormat="1" applyFont="1" applyFill="1" applyBorder="1" applyAlignment="1">
      <alignment horizontal="center" wrapText="1"/>
    </xf>
    <xf numFmtId="164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4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5" fontId="7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4" fontId="3" fillId="28" borderId="7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5" fillId="29" borderId="8" xfId="0" applyNumberFormat="1" applyFont="1" applyFill="1" applyBorder="1"/>
    <xf numFmtId="0" fontId="2" fillId="29" borderId="9" xfId="0" applyFont="1" applyFill="1" applyBorder="1"/>
    <xf numFmtId="164" fontId="2" fillId="29" borderId="9" xfId="0" applyNumberFormat="1" applyFont="1" applyFill="1" applyBorder="1"/>
    <xf numFmtId="166" fontId="2" fillId="29" borderId="9" xfId="0" applyNumberFormat="1" applyFont="1" applyFill="1" applyBorder="1"/>
    <xf numFmtId="166" fontId="2" fillId="29" borderId="10" xfId="0" applyNumberFormat="1" applyFont="1" applyFill="1" applyBorder="1"/>
    <xf numFmtId="165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4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6" fontId="5" fillId="30" borderId="10" xfId="0" applyNumberFormat="1" applyFont="1" applyFill="1" applyBorder="1"/>
    <xf numFmtId="165" fontId="5" fillId="30" borderId="10" xfId="0" applyNumberFormat="1" applyFont="1" applyFill="1" applyBorder="1"/>
    <xf numFmtId="165" fontId="2" fillId="30" borderId="10" xfId="0" applyNumberFormat="1" applyFont="1" applyFill="1" applyBorder="1"/>
    <xf numFmtId="164" fontId="5" fillId="31" borderId="7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5" fillId="32" borderId="8" xfId="0" applyNumberFormat="1" applyFont="1" applyFill="1" applyBorder="1"/>
    <xf numFmtId="164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6" fontId="2" fillId="32" borderId="10" xfId="0" applyNumberFormat="1" applyFont="1" applyFill="1" applyBorder="1"/>
    <xf numFmtId="165" fontId="2" fillId="32" borderId="10" xfId="0" applyNumberFormat="1" applyFont="1" applyFill="1" applyBorder="1"/>
    <xf numFmtId="164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6" fontId="5" fillId="33" borderId="10" xfId="0" applyNumberFormat="1" applyFont="1" applyFill="1" applyBorder="1"/>
    <xf numFmtId="165" fontId="5" fillId="33" borderId="10" xfId="0" applyNumberFormat="1" applyFont="1" applyFill="1" applyBorder="1"/>
    <xf numFmtId="165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4" fontId="2" fillId="33" borderId="9" xfId="0" applyNumberFormat="1" applyFont="1" applyFill="1" applyBorder="1"/>
    <xf numFmtId="166" fontId="5" fillId="33" borderId="11" xfId="0" applyNumberFormat="1" applyFont="1" applyFill="1" applyBorder="1" applyAlignment="1">
      <alignment horizontal="right"/>
    </xf>
    <xf numFmtId="164" fontId="20" fillId="26" borderId="9" xfId="0" applyNumberFormat="1" applyFont="1" applyFill="1" applyBorder="1"/>
    <xf numFmtId="166" fontId="5" fillId="26" borderId="10" xfId="0" applyNumberFormat="1" applyFont="1" applyFill="1" applyBorder="1" applyAlignment="1">
      <alignment horizontal="right"/>
    </xf>
    <xf numFmtId="165" fontId="5" fillId="26" borderId="10" xfId="0" applyNumberFormat="1" applyFont="1" applyFill="1" applyBorder="1" applyAlignment="1">
      <alignment horizontal="right"/>
    </xf>
    <xf numFmtId="164" fontId="21" fillId="2" borderId="9" xfId="0" applyNumberFormat="1" applyFont="1" applyFill="1" applyBorder="1"/>
    <xf numFmtId="0" fontId="22" fillId="26" borderId="9" xfId="0" applyFont="1" applyFill="1" applyBorder="1"/>
    <xf numFmtId="164" fontId="2" fillId="2" borderId="12" xfId="0" applyNumberFormat="1" applyFont="1" applyFill="1" applyBorder="1"/>
    <xf numFmtId="0" fontId="2" fillId="2" borderId="13" xfId="0" applyFont="1" applyFill="1" applyBorder="1"/>
    <xf numFmtId="164" fontId="2" fillId="2" borderId="13" xfId="0" applyNumberFormat="1" applyFont="1" applyFill="1" applyBorder="1"/>
    <xf numFmtId="0" fontId="7" fillId="0" borderId="13" xfId="0" applyFont="1" applyBorder="1"/>
    <xf numFmtId="0" fontId="2" fillId="2" borderId="11" xfId="0" applyFont="1" applyFill="1" applyBorder="1"/>
    <xf numFmtId="164" fontId="7" fillId="2" borderId="11" xfId="0" applyNumberFormat="1" applyFont="1" applyFill="1" applyBorder="1" applyAlignment="1">
      <alignment horizontal="center"/>
    </xf>
    <xf numFmtId="166" fontId="2" fillId="2" borderId="11" xfId="0" applyNumberFormat="1" applyFont="1" applyFill="1" applyBorder="1"/>
    <xf numFmtId="166" fontId="7" fillId="2" borderId="11" xfId="0" applyNumberFormat="1" applyFont="1" applyFill="1" applyBorder="1" applyAlignment="1">
      <alignment horizontal="right"/>
    </xf>
    <xf numFmtId="165" fontId="2" fillId="2" borderId="11" xfId="0" applyNumberFormat="1" applyFont="1" applyFill="1" applyBorder="1"/>
    <xf numFmtId="166" fontId="2" fillId="33" borderId="10" xfId="0" applyNumberFormat="1" applyFont="1" applyFill="1" applyBorder="1"/>
    <xf numFmtId="0" fontId="23" fillId="0" borderId="9" xfId="0" quotePrefix="1" applyFont="1" applyBorder="1"/>
    <xf numFmtId="164" fontId="21" fillId="2" borderId="1" xfId="0" applyNumberFormat="1" applyFont="1" applyFill="1" applyBorder="1"/>
    <xf numFmtId="164" fontId="5" fillId="33" borderId="9" xfId="0" applyNumberFormat="1" applyFont="1" applyFill="1" applyBorder="1"/>
    <xf numFmtId="164" fontId="5" fillId="33" borderId="10" xfId="0" applyNumberFormat="1" applyFont="1" applyFill="1" applyBorder="1" applyAlignment="1">
      <alignment horizontal="center" wrapText="1"/>
    </xf>
    <xf numFmtId="164" fontId="24" fillId="2" borderId="9" xfId="0" applyNumberFormat="1" applyFont="1" applyFill="1" applyBorder="1"/>
    <xf numFmtId="164" fontId="25" fillId="23" borderId="9" xfId="0" quotePrefix="1" applyNumberFormat="1" applyFont="1" applyFill="1" applyBorder="1"/>
    <xf numFmtId="164" fontId="8" fillId="2" borderId="9" xfId="0" applyNumberFormat="1" applyFont="1" applyFill="1" applyBorder="1"/>
    <xf numFmtId="166" fontId="8" fillId="2" borderId="10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4" fontId="2" fillId="33" borderId="10" xfId="0" applyNumberFormat="1" applyFont="1" applyFill="1" applyBorder="1"/>
    <xf numFmtId="164" fontId="5" fillId="33" borderId="10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 wrapText="1"/>
    </xf>
    <xf numFmtId="164" fontId="8" fillId="2" borderId="13" xfId="0" applyNumberFormat="1" applyFont="1" applyFill="1" applyBorder="1"/>
    <xf numFmtId="164" fontId="2" fillId="2" borderId="11" xfId="0" applyNumberFormat="1" applyFont="1" applyFill="1" applyBorder="1"/>
    <xf numFmtId="164" fontId="27" fillId="2" borderId="9" xfId="0" quotePrefix="1" applyNumberFormat="1" applyFont="1" applyFill="1" applyBorder="1"/>
    <xf numFmtId="168" fontId="7" fillId="2" borderId="10" xfId="0" applyNumberFormat="1" applyFont="1" applyFill="1" applyBorder="1"/>
    <xf numFmtId="164" fontId="7" fillId="2" borderId="9" xfId="0" quotePrefix="1" applyNumberFormat="1" applyFont="1" applyFill="1" applyBorder="1"/>
    <xf numFmtId="164" fontId="28" fillId="2" borderId="9" xfId="0" applyNumberFormat="1" applyFont="1" applyFill="1" applyBorder="1"/>
    <xf numFmtId="166" fontId="5" fillId="2" borderId="10" xfId="0" applyNumberFormat="1" applyFont="1" applyFill="1" applyBorder="1" applyAlignment="1">
      <alignment horizontal="right"/>
    </xf>
    <xf numFmtId="164" fontId="2" fillId="2" borderId="7" xfId="0" applyNumberFormat="1" applyFont="1" applyFill="1" applyBorder="1"/>
    <xf numFmtId="164" fontId="2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30" fillId="2" borderId="9" xfId="0" applyFont="1" applyFill="1" applyBorder="1"/>
    <xf numFmtId="164" fontId="5" fillId="2" borderId="1" xfId="0" applyNumberFormat="1" applyFont="1" applyFill="1" applyBorder="1"/>
    <xf numFmtId="166" fontId="7" fillId="24" borderId="2" xfId="0" applyNumberFormat="1" applyFont="1" applyFill="1" applyBorder="1"/>
    <xf numFmtId="164" fontId="5" fillId="34" borderId="7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5" fillId="36" borderId="8" xfId="0" applyNumberFormat="1" applyFont="1" applyFill="1" applyBorder="1"/>
    <xf numFmtId="164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6" fontId="2" fillId="36" borderId="10" xfId="0" applyNumberFormat="1" applyFont="1" applyFill="1" applyBorder="1"/>
    <xf numFmtId="165" fontId="2" fillId="36" borderId="10" xfId="0" applyNumberFormat="1" applyFont="1" applyFill="1" applyBorder="1"/>
    <xf numFmtId="165" fontId="2" fillId="36" borderId="6" xfId="0" applyNumberFormat="1" applyFont="1" applyFill="1" applyBorder="1"/>
    <xf numFmtId="164" fontId="2" fillId="37" borderId="8" xfId="0" applyNumberFormat="1" applyFont="1" applyFill="1" applyBorder="1"/>
    <xf numFmtId="0" fontId="5" fillId="37" borderId="9" xfId="0" applyFont="1" applyFill="1" applyBorder="1"/>
    <xf numFmtId="164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6" fontId="5" fillId="37" borderId="10" xfId="0" applyNumberFormat="1" applyFont="1" applyFill="1" applyBorder="1"/>
    <xf numFmtId="165" fontId="5" fillId="37" borderId="10" xfId="0" applyNumberFormat="1" applyFont="1" applyFill="1" applyBorder="1"/>
    <xf numFmtId="165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4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5" fillId="37" borderId="10" xfId="0" applyNumberFormat="1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center"/>
    </xf>
    <xf numFmtId="164" fontId="7" fillId="2" borderId="11" xfId="0" applyNumberFormat="1" applyFont="1" applyFill="1" applyBorder="1" applyAlignment="1">
      <alignment horizontal="center" wrapText="1"/>
    </xf>
    <xf numFmtId="165" fontId="7" fillId="2" borderId="11" xfId="0" applyNumberFormat="1" applyFont="1" applyFill="1" applyBorder="1" applyAlignment="1">
      <alignment horizontal="right"/>
    </xf>
    <xf numFmtId="166" fontId="7" fillId="24" borderId="11" xfId="0" applyNumberFormat="1" applyFont="1" applyFill="1" applyBorder="1" applyAlignment="1">
      <alignment horizontal="right"/>
    </xf>
    <xf numFmtId="0" fontId="7" fillId="2" borderId="13" xfId="0" applyFont="1" applyFill="1" applyBorder="1"/>
    <xf numFmtId="0" fontId="7" fillId="2" borderId="11" xfId="0" applyFont="1" applyFill="1" applyBorder="1" applyAlignment="1">
      <alignment horizontal="center"/>
    </xf>
    <xf numFmtId="166" fontId="7" fillId="24" borderId="10" xfId="0" applyNumberFormat="1" applyFont="1" applyFill="1" applyBorder="1" applyAlignment="1">
      <alignment horizontal="right"/>
    </xf>
    <xf numFmtId="164" fontId="1" fillId="22" borderId="8" xfId="0" applyNumberFormat="1" applyFont="1" applyFill="1" applyBorder="1"/>
    <xf numFmtId="0" fontId="31" fillId="22" borderId="9" xfId="0" applyFont="1" applyFill="1" applyBorder="1"/>
    <xf numFmtId="167" fontId="31" fillId="22" borderId="9" xfId="0" applyNumberFormat="1" applyFont="1" applyFill="1" applyBorder="1"/>
    <xf numFmtId="164" fontId="31" fillId="22" borderId="9" xfId="0" applyNumberFormat="1" applyFont="1" applyFill="1" applyBorder="1"/>
    <xf numFmtId="166" fontId="31" fillId="22" borderId="9" xfId="0" applyNumberFormat="1" applyFont="1" applyFill="1" applyBorder="1"/>
    <xf numFmtId="165" fontId="31" fillId="22" borderId="9" xfId="0" applyNumberFormat="1" applyFont="1" applyFill="1" applyBorder="1"/>
    <xf numFmtId="165" fontId="31" fillId="22" borderId="10" xfId="0" applyNumberFormat="1" applyFont="1" applyFill="1" applyBorder="1"/>
    <xf numFmtId="167" fontId="31" fillId="12" borderId="8" xfId="0" applyNumberFormat="1" applyFont="1" applyFill="1" applyBorder="1"/>
    <xf numFmtId="0" fontId="1" fillId="12" borderId="9" xfId="0" applyFont="1" applyFill="1" applyBorder="1"/>
    <xf numFmtId="167" fontId="31" fillId="12" borderId="9" xfId="0" applyNumberFormat="1" applyFont="1" applyFill="1" applyBorder="1"/>
    <xf numFmtId="164" fontId="31" fillId="12" borderId="9" xfId="0" applyNumberFormat="1" applyFont="1" applyFill="1" applyBorder="1"/>
    <xf numFmtId="0" fontId="31" fillId="12" borderId="9" xfId="0" applyFont="1" applyFill="1" applyBorder="1"/>
    <xf numFmtId="164" fontId="1" fillId="12" borderId="9" xfId="0" applyNumberFormat="1" applyFont="1" applyFill="1" applyBorder="1" applyAlignment="1">
      <alignment horizontal="center"/>
    </xf>
    <xf numFmtId="166" fontId="31" fillId="12" borderId="9" xfId="0" applyNumberFormat="1" applyFont="1" applyFill="1" applyBorder="1"/>
    <xf numFmtId="166" fontId="31" fillId="12" borderId="10" xfId="0" applyNumberFormat="1" applyFont="1" applyFill="1" applyBorder="1"/>
    <xf numFmtId="165" fontId="31" fillId="12" borderId="10" xfId="0" applyNumberFormat="1" applyFont="1" applyFill="1" applyBorder="1"/>
    <xf numFmtId="164" fontId="31" fillId="12" borderId="8" xfId="0" applyNumberFormat="1" applyFont="1" applyFill="1" applyBorder="1"/>
    <xf numFmtId="164" fontId="23" fillId="12" borderId="9" xfId="0" applyNumberFormat="1" applyFont="1" applyFill="1" applyBorder="1"/>
    <xf numFmtId="0" fontId="31" fillId="12" borderId="10" xfId="0" applyFont="1" applyFill="1" applyBorder="1"/>
    <xf numFmtId="164" fontId="1" fillId="12" borderId="10" xfId="0" applyNumberFormat="1" applyFont="1" applyFill="1" applyBorder="1" applyAlignment="1">
      <alignment horizontal="center"/>
    </xf>
    <xf numFmtId="167" fontId="31" fillId="2" borderId="8" xfId="0" applyNumberFormat="1" applyFont="1" applyFill="1" applyBorder="1"/>
    <xf numFmtId="164" fontId="31" fillId="2" borderId="9" xfId="0" applyNumberFormat="1" applyFont="1" applyFill="1" applyBorder="1"/>
    <xf numFmtId="164" fontId="1" fillId="2" borderId="9" xfId="0" applyNumberFormat="1" applyFont="1" applyFill="1" applyBorder="1" applyAlignment="1">
      <alignment horizontal="center"/>
    </xf>
    <xf numFmtId="0" fontId="32" fillId="2" borderId="9" xfId="0" applyFont="1" applyFill="1" applyBorder="1"/>
    <xf numFmtId="164" fontId="1" fillId="0" borderId="10" xfId="0" applyNumberFormat="1" applyFont="1" applyBorder="1" applyAlignment="1">
      <alignment horizontal="center" wrapText="1"/>
    </xf>
    <xf numFmtId="166" fontId="31" fillId="2" borderId="10" xfId="0" applyNumberFormat="1" applyFont="1" applyFill="1" applyBorder="1"/>
    <xf numFmtId="165" fontId="31" fillId="2" borderId="10" xfId="0" applyNumberFormat="1" applyFont="1" applyFill="1" applyBorder="1"/>
    <xf numFmtId="165" fontId="1" fillId="2" borderId="10" xfId="0" applyNumberFormat="1" applyFont="1" applyFill="1" applyBorder="1"/>
    <xf numFmtId="0" fontId="31" fillId="0" borderId="9" xfId="0" applyFont="1" applyBorder="1"/>
    <xf numFmtId="0" fontId="23" fillId="2" borderId="9" xfId="0" applyFont="1" applyFill="1" applyBorder="1"/>
    <xf numFmtId="0" fontId="31" fillId="2" borderId="9" xfId="0" applyFont="1" applyFill="1" applyBorder="1"/>
    <xf numFmtId="0" fontId="31" fillId="2" borderId="10" xfId="0" applyFont="1" applyFill="1" applyBorder="1"/>
    <xf numFmtId="164" fontId="23" fillId="0" borderId="10" xfId="0" applyNumberFormat="1" applyFont="1" applyBorder="1" applyAlignment="1">
      <alignment horizontal="center" wrapText="1"/>
    </xf>
    <xf numFmtId="165" fontId="23" fillId="2" borderId="10" xfId="0" applyNumberFormat="1" applyFont="1" applyFill="1" applyBorder="1"/>
    <xf numFmtId="0" fontId="33" fillId="2" borderId="9" xfId="0" applyFont="1" applyFill="1" applyBorder="1"/>
    <xf numFmtId="166" fontId="31" fillId="0" borderId="10" xfId="0" applyNumberFormat="1" applyFont="1" applyBorder="1"/>
    <xf numFmtId="165" fontId="31" fillId="0" borderId="10" xfId="0" applyNumberFormat="1" applyFont="1" applyBorder="1"/>
    <xf numFmtId="164" fontId="1" fillId="0" borderId="10" xfId="0" applyNumberFormat="1" applyFont="1" applyBorder="1" applyAlignment="1">
      <alignment horizontal="center"/>
    </xf>
    <xf numFmtId="164" fontId="23" fillId="2" borderId="9" xfId="0" applyNumberFormat="1" applyFont="1" applyFill="1" applyBorder="1"/>
    <xf numFmtId="164" fontId="23" fillId="0" borderId="10" xfId="0" applyNumberFormat="1" applyFont="1" applyBorder="1" applyAlignment="1">
      <alignment horizontal="center"/>
    </xf>
    <xf numFmtId="164" fontId="31" fillId="0" borderId="8" xfId="0" applyNumberFormat="1" applyFont="1" applyBorder="1"/>
    <xf numFmtId="164" fontId="31" fillId="0" borderId="9" xfId="0" applyNumberFormat="1" applyFont="1" applyBorder="1"/>
    <xf numFmtId="0" fontId="34" fillId="23" borderId="9" xfId="0" quotePrefix="1" applyFont="1" applyFill="1" applyBorder="1"/>
    <xf numFmtId="0" fontId="31" fillId="23" borderId="9" xfId="0" applyFont="1" applyFill="1" applyBorder="1"/>
    <xf numFmtId="0" fontId="31" fillId="23" borderId="10" xfId="0" applyFont="1" applyFill="1" applyBorder="1"/>
    <xf numFmtId="164" fontId="31" fillId="0" borderId="10" xfId="0" applyNumberFormat="1" applyFont="1" applyBorder="1"/>
    <xf numFmtId="164" fontId="23" fillId="0" borderId="9" xfId="0" applyNumberFormat="1" applyFont="1" applyBorder="1"/>
    <xf numFmtId="0" fontId="31" fillId="0" borderId="10" xfId="0" applyFont="1" applyBorder="1"/>
    <xf numFmtId="164" fontId="31" fillId="0" borderId="14" xfId="0" applyNumberFormat="1" applyFont="1" applyBorder="1"/>
    <xf numFmtId="164" fontId="31" fillId="0" borderId="15" xfId="0" applyNumberFormat="1" applyFont="1" applyBorder="1"/>
    <xf numFmtId="164" fontId="23" fillId="0" borderId="15" xfId="0" applyNumberFormat="1" applyFont="1" applyBorder="1"/>
    <xf numFmtId="0" fontId="31" fillId="0" borderId="15" xfId="0" applyFont="1" applyBorder="1"/>
    <xf numFmtId="0" fontId="31" fillId="0" borderId="16" xfId="0" applyFont="1" applyBorder="1"/>
    <xf numFmtId="164" fontId="23" fillId="0" borderId="16" xfId="0" applyNumberFormat="1" applyFont="1" applyBorder="1" applyAlignment="1">
      <alignment horizontal="center" wrapText="1"/>
    </xf>
    <xf numFmtId="166" fontId="31" fillId="2" borderId="16" xfId="0" applyNumberFormat="1" applyFont="1" applyFill="1" applyBorder="1"/>
    <xf numFmtId="165" fontId="31" fillId="0" borderId="16" xfId="0" applyNumberFormat="1" applyFont="1" applyBorder="1"/>
    <xf numFmtId="165" fontId="31" fillId="2" borderId="16" xfId="0" applyNumberFormat="1" applyFont="1" applyFill="1" applyBorder="1"/>
    <xf numFmtId="164" fontId="3" fillId="38" borderId="7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4" fontId="2" fillId="39" borderId="9" xfId="0" applyNumberFormat="1" applyFont="1" applyFill="1" applyBorder="1"/>
    <xf numFmtId="164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39" borderId="10" xfId="0" applyNumberFormat="1" applyFont="1" applyFill="1" applyBorder="1"/>
    <xf numFmtId="164" fontId="2" fillId="40" borderId="9" xfId="0" applyNumberFormat="1" applyFont="1" applyFill="1" applyBorder="1"/>
    <xf numFmtId="164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4" fontId="5" fillId="40" borderId="10" xfId="0" applyNumberFormat="1" applyFont="1" applyFill="1" applyBorder="1" applyAlignment="1">
      <alignment horizontal="center"/>
    </xf>
    <xf numFmtId="166" fontId="5" fillId="40" borderId="10" xfId="0" applyNumberFormat="1" applyFont="1" applyFill="1" applyBorder="1"/>
    <xf numFmtId="165" fontId="5" fillId="40" borderId="10" xfId="0" applyNumberFormat="1" applyFont="1" applyFill="1" applyBorder="1"/>
    <xf numFmtId="165" fontId="2" fillId="40" borderId="10" xfId="0" applyNumberFormat="1" applyFont="1" applyFill="1" applyBorder="1"/>
    <xf numFmtId="164" fontId="36" fillId="23" borderId="9" xfId="0" applyNumberFormat="1" applyFont="1" applyFill="1" applyBorder="1"/>
    <xf numFmtId="164" fontId="7" fillId="0" borderId="9" xfId="0" applyNumberFormat="1" applyFont="1" applyBorder="1"/>
    <xf numFmtId="164" fontId="5" fillId="0" borderId="10" xfId="0" applyNumberFormat="1" applyFont="1" applyBorder="1" applyAlignment="1">
      <alignment horizontal="center"/>
    </xf>
    <xf numFmtId="164" fontId="2" fillId="40" borderId="10" xfId="0" applyNumberFormat="1" applyFont="1" applyFill="1" applyBorder="1"/>
    <xf numFmtId="166" fontId="2" fillId="40" borderId="10" xfId="0" applyNumberFormat="1" applyFont="1" applyFill="1" applyBorder="1"/>
    <xf numFmtId="0" fontId="37" fillId="23" borderId="9" xfId="0" applyFont="1" applyFill="1" applyBorder="1"/>
    <xf numFmtId="164" fontId="7" fillId="2" borderId="10" xfId="0" applyNumberFormat="1" applyFont="1" applyFill="1" applyBorder="1"/>
    <xf numFmtId="169" fontId="2" fillId="2" borderId="10" xfId="0" applyNumberFormat="1" applyFont="1" applyFill="1" applyBorder="1"/>
    <xf numFmtId="164" fontId="5" fillId="2" borderId="10" xfId="0" applyNumberFormat="1" applyFont="1" applyFill="1" applyBorder="1"/>
    <xf numFmtId="164" fontId="7" fillId="24" borderId="10" xfId="0" applyNumberFormat="1" applyFont="1" applyFill="1" applyBorder="1"/>
    <xf numFmtId="164" fontId="38" fillId="0" borderId="1" xfId="0" applyNumberFormat="1" applyFont="1" applyBorder="1"/>
    <xf numFmtId="169" fontId="2" fillId="2" borderId="2" xfId="0" applyNumberFormat="1" applyFont="1" applyFill="1" applyBorder="1"/>
    <xf numFmtId="164" fontId="5" fillId="39" borderId="10" xfId="0" applyNumberFormat="1" applyFont="1" applyFill="1" applyBorder="1" applyAlignment="1">
      <alignment horizontal="center"/>
    </xf>
    <xf numFmtId="166" fontId="5" fillId="39" borderId="10" xfId="0" applyNumberFormat="1" applyFont="1" applyFill="1" applyBorder="1"/>
    <xf numFmtId="165" fontId="5" fillId="39" borderId="10" xfId="0" applyNumberFormat="1" applyFont="1" applyFill="1" applyBorder="1"/>
    <xf numFmtId="0" fontId="5" fillId="0" borderId="9" xfId="0" quotePrefix="1" applyFont="1" applyBorder="1"/>
    <xf numFmtId="0" fontId="39" fillId="0" borderId="9" xfId="0" applyFont="1" applyBorder="1"/>
    <xf numFmtId="164" fontId="16" fillId="39" borderId="9" xfId="0" applyNumberFormat="1" applyFont="1" applyFill="1" applyBorder="1"/>
    <xf numFmtId="164" fontId="16" fillId="39" borderId="10" xfId="0" applyNumberFormat="1" applyFont="1" applyFill="1" applyBorder="1" applyAlignment="1">
      <alignment horizontal="center"/>
    </xf>
    <xf numFmtId="165" fontId="16" fillId="39" borderId="10" xfId="0" applyNumberFormat="1" applyFont="1" applyFill="1" applyBorder="1"/>
    <xf numFmtId="164" fontId="16" fillId="0" borderId="10" xfId="0" applyNumberFormat="1" applyFont="1" applyBorder="1" applyAlignment="1">
      <alignment horizontal="center" wrapText="1"/>
    </xf>
    <xf numFmtId="0" fontId="41" fillId="2" borderId="9" xfId="0" applyFont="1" applyFill="1" applyBorder="1"/>
    <xf numFmtId="164" fontId="16" fillId="0" borderId="10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42" fillId="23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4" fontId="8" fillId="0" borderId="2" xfId="0" applyNumberFormat="1" applyFont="1" applyBorder="1" applyAlignment="1">
      <alignment horizontal="center" wrapText="1"/>
    </xf>
    <xf numFmtId="166" fontId="8" fillId="2" borderId="2" xfId="0" applyNumberFormat="1" applyFont="1" applyFill="1" applyBorder="1" applyAlignment="1">
      <alignment horizontal="right"/>
    </xf>
    <xf numFmtId="164" fontId="2" fillId="39" borderId="8" xfId="0" applyNumberFormat="1" applyFont="1" applyFill="1" applyBorder="1"/>
    <xf numFmtId="164" fontId="5" fillId="0" borderId="9" xfId="0" applyNumberFormat="1" applyFont="1" applyBorder="1"/>
    <xf numFmtId="164" fontId="2" fillId="0" borderId="13" xfId="0" applyNumberFormat="1" applyFont="1" applyBorder="1"/>
    <xf numFmtId="164" fontId="7" fillId="0" borderId="13" xfId="0" applyNumberFormat="1" applyFont="1" applyBorder="1"/>
    <xf numFmtId="0" fontId="2" fillId="0" borderId="13" xfId="0" applyFont="1" applyBorder="1"/>
    <xf numFmtId="0" fontId="2" fillId="0" borderId="11" xfId="0" applyFont="1" applyBorder="1"/>
    <xf numFmtId="164" fontId="7" fillId="0" borderId="11" xfId="0" applyNumberFormat="1" applyFont="1" applyBorder="1" applyAlignment="1">
      <alignment horizontal="center"/>
    </xf>
    <xf numFmtId="166" fontId="2" fillId="0" borderId="11" xfId="0" applyNumberFormat="1" applyFont="1" applyBorder="1"/>
    <xf numFmtId="165" fontId="2" fillId="0" borderId="11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4" fontId="8" fillId="0" borderId="9" xfId="0" applyNumberFormat="1" applyFont="1" applyBorder="1"/>
    <xf numFmtId="164" fontId="5" fillId="13" borderId="17" xfId="0" applyNumberFormat="1" applyFont="1" applyFill="1" applyBorder="1"/>
    <xf numFmtId="164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4" fontId="5" fillId="13" borderId="18" xfId="0" applyNumberFormat="1" applyFont="1" applyFill="1" applyBorder="1"/>
    <xf numFmtId="166" fontId="2" fillId="13" borderId="18" xfId="0" applyNumberFormat="1" applyFont="1" applyFill="1" applyBorder="1"/>
    <xf numFmtId="166" fontId="2" fillId="13" borderId="19" xfId="0" applyNumberFormat="1" applyFont="1" applyFill="1" applyBorder="1"/>
    <xf numFmtId="165" fontId="2" fillId="13" borderId="19" xfId="0" applyNumberFormat="1" applyFont="1" applyFill="1" applyBorder="1"/>
    <xf numFmtId="165" fontId="7" fillId="2" borderId="2" xfId="0" applyNumberFormat="1" applyFont="1" applyFill="1" applyBorder="1" applyAlignment="1">
      <alignment horizontal="right"/>
    </xf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4" fontId="21" fillId="0" borderId="0" xfId="0" applyNumberFormat="1" applyFont="1"/>
    <xf numFmtId="165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5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4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4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4" fontId="29" fillId="2" borderId="1" xfId="0" applyNumberFormat="1" applyFont="1" applyFill="1" applyBorder="1"/>
    <xf numFmtId="0" fontId="32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5" fillId="2" borderId="9" xfId="0" applyFont="1" applyFill="1" applyBorder="1"/>
    <xf numFmtId="0" fontId="40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4" fontId="26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5" fontId="2" fillId="2" borderId="20" xfId="0" applyNumberFormat="1" applyFont="1" applyFill="1" applyBorder="1"/>
    <xf numFmtId="166" fontId="7" fillId="24" borderId="2" xfId="0" applyNumberFormat="1" applyFont="1" applyFill="1" applyBorder="1" applyAlignment="1">
      <alignment horizontal="right"/>
    </xf>
    <xf numFmtId="165" fontId="2" fillId="2" borderId="21" xfId="0" applyNumberFormat="1" applyFont="1" applyFill="1" applyBorder="1"/>
    <xf numFmtId="164" fontId="6" fillId="23" borderId="9" xfId="0" applyNumberFormat="1" applyFont="1" applyFill="1" applyBorder="1"/>
    <xf numFmtId="165" fontId="7" fillId="2" borderId="21" xfId="0" applyNumberFormat="1" applyFont="1" applyFill="1" applyBorder="1" applyAlignment="1">
      <alignment horizontal="right"/>
    </xf>
    <xf numFmtId="165" fontId="8" fillId="2" borderId="21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5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5" fontId="2" fillId="39" borderId="21" xfId="0" applyNumberFormat="1" applyFont="1" applyFill="1" applyBorder="1"/>
    <xf numFmtId="165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164" fontId="2" fillId="0" borderId="12" xfId="0" applyNumberFormat="1" applyFont="1" applyBorder="1"/>
    <xf numFmtId="165" fontId="31" fillId="2" borderId="21" xfId="0" applyNumberFormat="1" applyFont="1" applyFill="1" applyBorder="1"/>
    <xf numFmtId="166" fontId="23" fillId="24" borderId="10" xfId="0" applyNumberFormat="1" applyFont="1" applyFill="1" applyBorder="1" applyAlignment="1">
      <alignment horizontal="right"/>
    </xf>
    <xf numFmtId="164" fontId="23" fillId="2" borderId="10" xfId="0" applyNumberFormat="1" applyFont="1" applyFill="1" applyBorder="1" applyAlignment="1">
      <alignment horizontal="center"/>
    </xf>
    <xf numFmtId="0" fontId="23" fillId="0" borderId="9" xfId="0" applyFont="1" applyBorder="1"/>
    <xf numFmtId="165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4" fontId="31" fillId="2" borderId="10" xfId="0" applyNumberFormat="1" applyFont="1" applyFill="1" applyBorder="1"/>
    <xf numFmtId="164" fontId="1" fillId="0" borderId="9" xfId="0" applyNumberFormat="1" applyFont="1" applyBorder="1"/>
    <xf numFmtId="164" fontId="6" fillId="23" borderId="9" xfId="0" quotePrefix="1" applyNumberFormat="1" applyFont="1" applyFill="1" applyBorder="1"/>
    <xf numFmtId="165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5" fontId="16" fillId="39" borderId="10" xfId="0" applyNumberFormat="1" applyFont="1" applyFill="1" applyBorder="1" applyAlignment="1">
      <alignment horizontal="right"/>
    </xf>
    <xf numFmtId="165" fontId="2" fillId="27" borderId="20" xfId="0" applyNumberFormat="1" applyFont="1" applyFill="1" applyBorder="1"/>
    <xf numFmtId="165" fontId="7" fillId="0" borderId="10" xfId="0" applyNumberFormat="1" applyFont="1" applyBorder="1" applyAlignment="1">
      <alignment horizontal="right"/>
    </xf>
    <xf numFmtId="0" fontId="6" fillId="23" borderId="9" xfId="0" quotePrefix="1" applyFont="1" applyFill="1" applyBorder="1"/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164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0" fontId="6" fillId="23" borderId="9" xfId="0" applyFont="1" applyFill="1" applyBorder="1"/>
    <xf numFmtId="165" fontId="2" fillId="40" borderId="21" xfId="0" applyNumberFormat="1" applyFont="1" applyFill="1" applyBorder="1"/>
    <xf numFmtId="164" fontId="2" fillId="40" borderId="8" xfId="0" applyNumberFormat="1" applyFont="1" applyFill="1" applyBorder="1"/>
    <xf numFmtId="165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5" fontId="2" fillId="38" borderId="20" xfId="0" applyNumberFormat="1" applyFont="1" applyFill="1" applyBorder="1"/>
    <xf numFmtId="165" fontId="2" fillId="2" borderId="16" xfId="0" applyNumberFormat="1" applyFont="1" applyFill="1" applyBorder="1"/>
    <xf numFmtId="165" fontId="2" fillId="2" borderId="22" xfId="0" applyNumberFormat="1" applyFont="1" applyFill="1" applyBorder="1"/>
    <xf numFmtId="165" fontId="2" fillId="0" borderId="16" xfId="0" applyNumberFormat="1" applyFont="1" applyBorder="1"/>
    <xf numFmtId="166" fontId="2" fillId="2" borderId="16" xfId="0" applyNumberFormat="1" applyFont="1" applyFill="1" applyBorder="1"/>
    <xf numFmtId="164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4" fontId="8" fillId="0" borderId="15" xfId="0" applyNumberFormat="1" applyFont="1" applyBorder="1"/>
    <xf numFmtId="164" fontId="2" fillId="0" borderId="15" xfId="0" applyNumberFormat="1" applyFont="1" applyBorder="1"/>
    <xf numFmtId="164" fontId="2" fillId="0" borderId="14" xfId="0" applyNumberFormat="1" applyFont="1" applyBorder="1"/>
    <xf numFmtId="0" fontId="18" fillId="23" borderId="9" xfId="0" quotePrefix="1" applyFont="1" applyFill="1" applyBorder="1"/>
    <xf numFmtId="165" fontId="2" fillId="12" borderId="21" xfId="0" applyNumberFormat="1" applyFont="1" applyFill="1" applyBorder="1"/>
    <xf numFmtId="164" fontId="16" fillId="12" borderId="10" xfId="0" applyNumberFormat="1" applyFont="1" applyFill="1" applyBorder="1" applyAlignment="1">
      <alignment horizontal="center"/>
    </xf>
    <xf numFmtId="164" fontId="8" fillId="12" borderId="9" xfId="0" applyNumberFormat="1" applyFont="1" applyFill="1" applyBorder="1"/>
    <xf numFmtId="164" fontId="2" fillId="12" borderId="8" xfId="0" applyNumberFormat="1" applyFont="1" applyFill="1" applyBorder="1"/>
    <xf numFmtId="164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4" fontId="16" fillId="22" borderId="8" xfId="0" applyNumberFormat="1" applyFont="1" applyFill="1" applyBorder="1"/>
    <xf numFmtId="165" fontId="2" fillId="27" borderId="21" xfId="0" applyNumberFormat="1" applyFont="1" applyFill="1" applyBorder="1"/>
    <xf numFmtId="0" fontId="6" fillId="2" borderId="9" xfId="0" applyFont="1" applyFill="1" applyBorder="1"/>
    <xf numFmtId="165" fontId="2" fillId="37" borderId="21" xfId="0" applyNumberFormat="1" applyFont="1" applyFill="1" applyBorder="1"/>
    <xf numFmtId="165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165" fontId="2" fillId="27" borderId="11" xfId="0" applyNumberFormat="1" applyFont="1" applyFill="1" applyBorder="1"/>
    <xf numFmtId="166" fontId="2" fillId="27" borderId="11" xfId="0" applyNumberFormat="1" applyFont="1" applyFill="1" applyBorder="1"/>
    <xf numFmtId="164" fontId="2" fillId="27" borderId="11" xfId="0" applyNumberFormat="1" applyFont="1" applyFill="1" applyBorder="1"/>
    <xf numFmtId="0" fontId="2" fillId="27" borderId="11" xfId="0" applyFont="1" applyFill="1" applyBorder="1"/>
    <xf numFmtId="0" fontId="2" fillId="27" borderId="13" xfId="0" applyFont="1" applyFill="1" applyBorder="1"/>
    <xf numFmtId="164" fontId="2" fillId="27" borderId="13" xfId="0" applyNumberFormat="1" applyFont="1" applyFill="1" applyBorder="1"/>
    <xf numFmtId="164" fontId="2" fillId="27" borderId="12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6" fontId="8" fillId="24" borderId="2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166" fontId="8" fillId="24" borderId="1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 wrapText="1"/>
    </xf>
    <xf numFmtId="0" fontId="16" fillId="2" borderId="9" xfId="0" applyFont="1" applyFill="1" applyBorder="1"/>
    <xf numFmtId="0" fontId="43" fillId="2" borderId="9" xfId="0" applyFont="1" applyFill="1" applyBorder="1"/>
    <xf numFmtId="164" fontId="16" fillId="2" borderId="10" xfId="0" applyNumberFormat="1" applyFont="1" applyFill="1" applyBorder="1" applyAlignment="1">
      <alignment horizontal="center"/>
    </xf>
    <xf numFmtId="165" fontId="16" fillId="37" borderId="10" xfId="0" applyNumberFormat="1" applyFont="1" applyFill="1" applyBorder="1" applyAlignment="1">
      <alignment horizontal="right"/>
    </xf>
    <xf numFmtId="166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2" fillId="36" borderId="23" xfId="0" applyNumberFormat="1" applyFont="1" applyFill="1" applyBorder="1"/>
    <xf numFmtId="164" fontId="16" fillId="36" borderId="8" xfId="0" applyNumberFormat="1" applyFont="1" applyFill="1" applyBorder="1"/>
    <xf numFmtId="165" fontId="2" fillId="35" borderId="20" xfId="0" applyNumberFormat="1" applyFont="1" applyFill="1" applyBorder="1"/>
    <xf numFmtId="164" fontId="16" fillId="34" borderId="7" xfId="0" applyNumberFormat="1" applyFont="1" applyFill="1" applyBorder="1"/>
    <xf numFmtId="164" fontId="9" fillId="2" borderId="9" xfId="0" applyNumberFormat="1" applyFont="1" applyFill="1" applyBorder="1"/>
    <xf numFmtId="164" fontId="6" fillId="2" borderId="1" xfId="0" applyNumberFormat="1" applyFont="1" applyFill="1" applyBorder="1"/>
    <xf numFmtId="165" fontId="2" fillId="33" borderId="21" xfId="0" applyNumberFormat="1" applyFont="1" applyFill="1" applyBorder="1"/>
    <xf numFmtId="165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7" fillId="24" borderId="20" xfId="0" applyNumberFormat="1" applyFont="1" applyFill="1" applyBorder="1" applyAlignment="1">
      <alignment horizontal="right"/>
    </xf>
    <xf numFmtId="166" fontId="7" fillId="24" borderId="21" xfId="0" applyNumberFormat="1" applyFont="1" applyFill="1" applyBorder="1" applyAlignment="1">
      <alignment horizontal="right"/>
    </xf>
    <xf numFmtId="165" fontId="2" fillId="41" borderId="10" xfId="0" applyNumberFormat="1" applyFont="1" applyFill="1" applyBorder="1"/>
    <xf numFmtId="165" fontId="2" fillId="41" borderId="21" xfId="0" applyNumberFormat="1" applyFont="1" applyFill="1" applyBorder="1"/>
    <xf numFmtId="165" fontId="5" fillId="41" borderId="10" xfId="0" applyNumberFormat="1" applyFont="1" applyFill="1" applyBorder="1" applyAlignment="1">
      <alignment horizontal="right"/>
    </xf>
    <xf numFmtId="166" fontId="5" fillId="41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4" fontId="5" fillId="41" borderId="10" xfId="0" applyNumberFormat="1" applyFont="1" applyFill="1" applyBorder="1" applyAlignment="1">
      <alignment horizontal="center"/>
    </xf>
    <xf numFmtId="164" fontId="2" fillId="41" borderId="10" xfId="0" applyNumberFormat="1" applyFont="1" applyFill="1" applyBorder="1"/>
    <xf numFmtId="164" fontId="2" fillId="41" borderId="9" xfId="0" applyNumberFormat="1" applyFont="1" applyFill="1" applyBorder="1"/>
    <xf numFmtId="164" fontId="7" fillId="41" borderId="9" xfId="0" applyNumberFormat="1" applyFont="1" applyFill="1" applyBorder="1"/>
    <xf numFmtId="164" fontId="2" fillId="41" borderId="8" xfId="0" applyNumberFormat="1" applyFont="1" applyFill="1" applyBorder="1"/>
    <xf numFmtId="164" fontId="5" fillId="41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5" fillId="41" borderId="10" xfId="0" applyNumberFormat="1" applyFont="1" applyFill="1" applyBorder="1" applyAlignment="1">
      <alignment horizontal="right"/>
    </xf>
    <xf numFmtId="166" fontId="5" fillId="40" borderId="21" xfId="0" applyNumberFormat="1" applyFont="1" applyFill="1" applyBorder="1" applyAlignment="1">
      <alignment horizontal="right"/>
    </xf>
    <xf numFmtId="164" fontId="28" fillId="40" borderId="9" xfId="0" applyNumberFormat="1" applyFont="1" applyFill="1" applyBorder="1"/>
    <xf numFmtId="166" fontId="5" fillId="2" borderId="21" xfId="0" applyNumberFormat="1" applyFont="1" applyFill="1" applyBorder="1" applyAlignment="1">
      <alignment horizontal="right"/>
    </xf>
    <xf numFmtId="164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6" fontId="5" fillId="40" borderId="24" xfId="0" applyNumberFormat="1" applyFont="1" applyFill="1" applyBorder="1" applyAlignment="1">
      <alignment horizontal="right"/>
    </xf>
    <xf numFmtId="164" fontId="6" fillId="2" borderId="9" xfId="0" quotePrefix="1" applyNumberFormat="1" applyFont="1" applyFill="1" applyBorder="1"/>
    <xf numFmtId="164" fontId="9" fillId="2" borderId="13" xfId="0" applyNumberFormat="1" applyFont="1" applyFill="1" applyBorder="1"/>
    <xf numFmtId="164" fontId="6" fillId="2" borderId="9" xfId="0" applyNumberFormat="1" applyFont="1" applyFill="1" applyBorder="1"/>
    <xf numFmtId="164" fontId="6" fillId="2" borderId="9" xfId="0" applyNumberFormat="1" applyFont="1" applyFill="1" applyBorder="1"/>
    <xf numFmtId="164" fontId="31" fillId="2" borderId="8" xfId="0" applyNumberFormat="1" applyFont="1" applyFill="1" applyBorder="1"/>
    <xf numFmtId="165" fontId="5" fillId="33" borderId="19" xfId="0" applyNumberFormat="1" applyFont="1" applyFill="1" applyBorder="1" applyAlignment="1">
      <alignment horizontal="right"/>
    </xf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4" fontId="2" fillId="33" borderId="18" xfId="0" applyNumberFormat="1" applyFont="1" applyFill="1" applyBorder="1"/>
    <xf numFmtId="167" fontId="2" fillId="33" borderId="18" xfId="0" applyNumberFormat="1" applyFont="1" applyFill="1" applyBorder="1"/>
    <xf numFmtId="164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5" fontId="2" fillId="26" borderId="21" xfId="0" applyNumberFormat="1" applyFont="1" applyFill="1" applyBorder="1"/>
    <xf numFmtId="0" fontId="6" fillId="26" borderId="9" xfId="0" applyFont="1" applyFill="1" applyBorder="1"/>
    <xf numFmtId="165" fontId="5" fillId="26" borderId="11" xfId="0" applyNumberFormat="1" applyFont="1" applyFill="1" applyBorder="1" applyAlignment="1">
      <alignment horizontal="right"/>
    </xf>
    <xf numFmtId="166" fontId="5" fillId="26" borderId="11" xfId="0" applyNumberFormat="1" applyFont="1" applyFill="1" applyBorder="1" applyAlignment="1">
      <alignment horizontal="right"/>
    </xf>
    <xf numFmtId="0" fontId="5" fillId="26" borderId="11" xfId="0" applyFont="1" applyFill="1" applyBorder="1" applyAlignment="1">
      <alignment horizontal="center" wrapText="1"/>
    </xf>
    <xf numFmtId="0" fontId="2" fillId="26" borderId="11" xfId="0" applyFont="1" applyFill="1" applyBorder="1"/>
    <xf numFmtId="0" fontId="2" fillId="26" borderId="13" xfId="0" applyFont="1" applyFill="1" applyBorder="1"/>
    <xf numFmtId="164" fontId="6" fillId="26" borderId="13" xfId="0" applyNumberFormat="1" applyFont="1" applyFill="1" applyBorder="1"/>
    <xf numFmtId="164" fontId="2" fillId="26" borderId="13" xfId="0" applyNumberFormat="1" applyFont="1" applyFill="1" applyBorder="1"/>
    <xf numFmtId="164" fontId="2" fillId="26" borderId="12" xfId="0" applyNumberFormat="1" applyFont="1" applyFill="1" applyBorder="1"/>
    <xf numFmtId="165" fontId="5" fillId="33" borderId="11" xfId="0" applyNumberFormat="1" applyFont="1" applyFill="1" applyBorder="1" applyAlignment="1">
      <alignment horizontal="right"/>
    </xf>
    <xf numFmtId="166" fontId="5" fillId="33" borderId="24" xfId="0" applyNumberFormat="1" applyFont="1" applyFill="1" applyBorder="1" applyAlignment="1">
      <alignment horizontal="right"/>
    </xf>
    <xf numFmtId="165" fontId="2" fillId="32" borderId="21" xfId="0" applyNumberFormat="1" applyFont="1" applyFill="1" applyBorder="1"/>
    <xf numFmtId="165" fontId="2" fillId="10" borderId="21" xfId="0" applyNumberFormat="1" applyFont="1" applyFill="1" applyBorder="1"/>
    <xf numFmtId="165" fontId="8" fillId="10" borderId="10" xfId="0" applyNumberFormat="1" applyFont="1" applyFill="1" applyBorder="1" applyAlignment="1">
      <alignment horizontal="right"/>
    </xf>
    <xf numFmtId="166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5" fontId="7" fillId="10" borderId="10" xfId="0" applyNumberFormat="1" applyFont="1" applyFill="1" applyBorder="1" applyAlignment="1">
      <alignment horizontal="right"/>
    </xf>
    <xf numFmtId="166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4" fontId="1" fillId="31" borderId="25" xfId="0" applyNumberFormat="1" applyFont="1" applyFill="1" applyBorder="1"/>
    <xf numFmtId="165" fontId="2" fillId="0" borderId="20" xfId="0" applyNumberFormat="1" applyFont="1" applyBorder="1"/>
    <xf numFmtId="166" fontId="7" fillId="0" borderId="10" xfId="0" applyNumberFormat="1" applyFont="1" applyBorder="1" applyAlignment="1">
      <alignment horizontal="right"/>
    </xf>
    <xf numFmtId="165" fontId="5" fillId="0" borderId="10" xfId="0" applyNumberFormat="1" applyFont="1" applyBorder="1" applyAlignment="1">
      <alignment horizontal="right"/>
    </xf>
    <xf numFmtId="165" fontId="2" fillId="30" borderId="21" xfId="0" applyNumberFormat="1" applyFont="1" applyFill="1" applyBorder="1"/>
    <xf numFmtId="165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5" fontId="2" fillId="29" borderId="21" xfId="0" applyNumberFormat="1" applyFont="1" applyFill="1" applyBorder="1"/>
    <xf numFmtId="165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0" fontId="7" fillId="2" borderId="13" xfId="0" quotePrefix="1" applyFont="1" applyFill="1" applyBorder="1"/>
    <xf numFmtId="46" fontId="2" fillId="2" borderId="12" xfId="0" applyNumberFormat="1" applyFont="1" applyFill="1" applyBorder="1"/>
    <xf numFmtId="165" fontId="31" fillId="0" borderId="21" xfId="0" applyNumberFormat="1" applyFont="1" applyBorder="1"/>
    <xf numFmtId="0" fontId="32" fillId="23" borderId="9" xfId="0" quotePrefix="1" applyFont="1" applyFill="1" applyBorder="1"/>
    <xf numFmtId="165" fontId="23" fillId="2" borderId="21" xfId="0" applyNumberFormat="1" applyFont="1" applyFill="1" applyBorder="1" applyAlignment="1">
      <alignment horizontal="right"/>
    </xf>
    <xf numFmtId="165" fontId="44" fillId="0" borderId="10" xfId="0" applyNumberFormat="1" applyFont="1" applyBorder="1"/>
    <xf numFmtId="166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5" fontId="44" fillId="2" borderId="10" xfId="0" applyNumberFormat="1" applyFont="1" applyFill="1" applyBorder="1"/>
    <xf numFmtId="166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right"/>
    </xf>
    <xf numFmtId="165" fontId="1" fillId="2" borderId="21" xfId="0" applyNumberFormat="1" applyFont="1" applyFill="1" applyBorder="1" applyAlignment="1">
      <alignment horizontal="right"/>
    </xf>
    <xf numFmtId="164" fontId="1" fillId="2" borderId="10" xfId="0" applyNumberFormat="1" applyFont="1" applyFill="1" applyBorder="1" applyAlignment="1">
      <alignment horizontal="center"/>
    </xf>
    <xf numFmtId="165" fontId="31" fillId="23" borderId="10" xfId="0" applyNumberFormat="1" applyFont="1" applyFill="1" applyBorder="1"/>
    <xf numFmtId="165" fontId="31" fillId="23" borderId="21" xfId="0" applyNumberFormat="1" applyFont="1" applyFill="1" applyBorder="1"/>
    <xf numFmtId="165" fontId="1" fillId="23" borderId="10" xfId="0" applyNumberFormat="1" applyFont="1" applyFill="1" applyBorder="1" applyAlignment="1">
      <alignment horizontal="right"/>
    </xf>
    <xf numFmtId="166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4" fontId="31" fillId="23" borderId="9" xfId="0" applyNumberFormat="1" applyFont="1" applyFill="1" applyBorder="1"/>
    <xf numFmtId="0" fontId="1" fillId="23" borderId="9" xfId="0" applyFont="1" applyFill="1" applyBorder="1"/>
    <xf numFmtId="164" fontId="31" fillId="23" borderId="8" xfId="0" applyNumberFormat="1" applyFont="1" applyFill="1" applyBorder="1"/>
    <xf numFmtId="165" fontId="31" fillId="25" borderId="10" xfId="0" applyNumberFormat="1" applyFont="1" applyFill="1" applyBorder="1"/>
    <xf numFmtId="165" fontId="31" fillId="25" borderId="21" xfId="0" applyNumberFormat="1" applyFont="1" applyFill="1" applyBorder="1"/>
    <xf numFmtId="166" fontId="31" fillId="25" borderId="10" xfId="0" applyNumberFormat="1" applyFont="1" applyFill="1" applyBorder="1"/>
    <xf numFmtId="0" fontId="31" fillId="25" borderId="10" xfId="0" applyFont="1" applyFill="1" applyBorder="1"/>
    <xf numFmtId="0" fontId="31" fillId="25" borderId="9" xfId="0" applyFont="1" applyFill="1" applyBorder="1"/>
    <xf numFmtId="164" fontId="31" fillId="25" borderId="9" xfId="0" applyNumberFormat="1" applyFont="1" applyFill="1" applyBorder="1"/>
    <xf numFmtId="164" fontId="1" fillId="25" borderId="8" xfId="0" applyNumberFormat="1" applyFont="1" applyFill="1" applyBorder="1"/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4" fontId="8" fillId="0" borderId="9" xfId="0" quotePrefix="1" applyNumberFormat="1" applyFont="1" applyBorder="1"/>
    <xf numFmtId="164" fontId="16" fillId="2" borderId="9" xfId="0" applyNumberFormat="1" applyFont="1" applyFill="1" applyBorder="1"/>
    <xf numFmtId="165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165" fontId="16" fillId="26" borderId="10" xfId="0" applyNumberFormat="1" applyFont="1" applyFill="1" applyBorder="1" applyAlignment="1">
      <alignment horizontal="right"/>
    </xf>
    <xf numFmtId="166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165" fontId="46" fillId="2" borderId="10" xfId="0" applyNumberFormat="1" applyFont="1" applyFill="1" applyBorder="1"/>
    <xf numFmtId="165" fontId="16" fillId="2" borderId="10" xfId="0" applyNumberFormat="1" applyFont="1" applyFill="1" applyBorder="1" applyAlignment="1">
      <alignment horizontal="right"/>
    </xf>
    <xf numFmtId="165" fontId="16" fillId="2" borderId="21" xfId="0" applyNumberFormat="1" applyFont="1" applyFill="1" applyBorder="1" applyAlignment="1">
      <alignment horizontal="right"/>
    </xf>
    <xf numFmtId="0" fontId="6" fillId="2" borderId="9" xfId="0" quotePrefix="1" applyFont="1" applyFill="1" applyBorder="1"/>
    <xf numFmtId="165" fontId="5" fillId="2" borderId="11" xfId="0" applyNumberFormat="1" applyFont="1" applyFill="1" applyBorder="1" applyAlignment="1">
      <alignment horizontal="right"/>
    </xf>
    <xf numFmtId="165" fontId="5" fillId="2" borderId="24" xfId="0" applyNumberFormat="1" applyFont="1" applyFill="1" applyBorder="1" applyAlignment="1">
      <alignment horizontal="right"/>
    </xf>
    <xf numFmtId="165" fontId="5" fillId="24" borderId="10" xfId="0" applyNumberFormat="1" applyFont="1" applyFill="1" applyBorder="1" applyAlignment="1">
      <alignment horizontal="right"/>
    </xf>
    <xf numFmtId="165" fontId="2" fillId="23" borderId="21" xfId="0" applyNumberFormat="1" applyFont="1" applyFill="1" applyBorder="1"/>
    <xf numFmtId="165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5" fontId="2" fillId="25" borderId="21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5" fontId="5" fillId="12" borderId="10" xfId="0" applyNumberFormat="1" applyFont="1" applyFill="1" applyBorder="1" applyAlignment="1">
      <alignment horizontal="right"/>
    </xf>
    <xf numFmtId="166" fontId="5" fillId="12" borderId="10" xfId="0" applyNumberFormat="1" applyFont="1" applyFill="1" applyBorder="1" applyAlignment="1">
      <alignment horizontal="right"/>
    </xf>
    <xf numFmtId="165" fontId="2" fillId="22" borderId="13" xfId="0" applyNumberFormat="1" applyFont="1" applyFill="1" applyBorder="1"/>
    <xf numFmtId="166" fontId="2" fillId="22" borderId="13" xfId="0" applyNumberFormat="1" applyFont="1" applyFill="1" applyBorder="1"/>
    <xf numFmtId="164" fontId="2" fillId="22" borderId="13" xfId="0" applyNumberFormat="1" applyFont="1" applyFill="1" applyBorder="1"/>
    <xf numFmtId="0" fontId="2" fillId="22" borderId="13" xfId="0" applyFont="1" applyFill="1" applyBorder="1"/>
    <xf numFmtId="167" fontId="2" fillId="22" borderId="13" xfId="0" applyNumberFormat="1" applyFont="1" applyFill="1" applyBorder="1"/>
    <xf numFmtId="164" fontId="5" fillId="22" borderId="12" xfId="0" applyNumberFormat="1" applyFont="1" applyFill="1" applyBorder="1"/>
    <xf numFmtId="165" fontId="2" fillId="22" borderId="21" xfId="0" applyNumberFormat="1" applyFont="1" applyFill="1" applyBorder="1"/>
    <xf numFmtId="165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5" fontId="7" fillId="20" borderId="10" xfId="0" applyNumberFormat="1" applyFont="1" applyFill="1" applyBorder="1" applyAlignment="1">
      <alignment horizontal="right"/>
    </xf>
    <xf numFmtId="165" fontId="7" fillId="20" borderId="21" xfId="0" applyNumberFormat="1" applyFont="1" applyFill="1" applyBorder="1" applyAlignment="1">
      <alignment horizontal="right"/>
    </xf>
    <xf numFmtId="165" fontId="8" fillId="20" borderId="10" xfId="0" applyNumberFormat="1" applyFont="1" applyFill="1" applyBorder="1" applyAlignment="1">
      <alignment horizontal="right"/>
    </xf>
    <xf numFmtId="165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5" fontId="5" fillId="20" borderId="10" xfId="0" applyNumberFormat="1" applyFont="1" applyFill="1" applyBorder="1" applyAlignment="1">
      <alignment horizontal="right"/>
    </xf>
    <xf numFmtId="165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0" fontId="5" fillId="20" borderId="9" xfId="0" applyFont="1" applyFill="1" applyBorder="1" applyAlignment="1">
      <alignment horizontal="center"/>
    </xf>
    <xf numFmtId="165" fontId="2" fillId="19" borderId="21" xfId="0" applyNumberFormat="1" applyFont="1" applyFill="1" applyBorder="1"/>
    <xf numFmtId="165" fontId="2" fillId="18" borderId="21" xfId="0" applyNumberFormat="1" applyFont="1" applyFill="1" applyBorder="1"/>
    <xf numFmtId="165" fontId="7" fillId="16" borderId="10" xfId="0" applyNumberFormat="1" applyFont="1" applyFill="1" applyBorder="1" applyAlignment="1">
      <alignment horizontal="right"/>
    </xf>
    <xf numFmtId="165" fontId="7" fillId="16" borderId="21" xfId="0" applyNumberFormat="1" applyFont="1" applyFill="1" applyBorder="1" applyAlignment="1">
      <alignment horizontal="right"/>
    </xf>
    <xf numFmtId="165" fontId="8" fillId="16" borderId="10" xfId="0" applyNumberFormat="1" applyFont="1" applyFill="1" applyBorder="1" applyAlignment="1">
      <alignment horizontal="right"/>
    </xf>
    <xf numFmtId="165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5" fontId="5" fillId="16" borderId="10" xfId="0" applyNumberFormat="1" applyFont="1" applyFill="1" applyBorder="1" applyAlignment="1">
      <alignment horizontal="right"/>
    </xf>
    <xf numFmtId="165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0" fontId="5" fillId="16" borderId="9" xfId="0" applyFont="1" applyFill="1" applyBorder="1" applyAlignment="1">
      <alignment horizontal="center"/>
    </xf>
    <xf numFmtId="165" fontId="2" fillId="15" borderId="21" xfId="0" applyNumberFormat="1" applyFont="1" applyFill="1" applyBorder="1"/>
    <xf numFmtId="0" fontId="2" fillId="15" borderId="8" xfId="0" applyFont="1" applyFill="1" applyBorder="1"/>
    <xf numFmtId="165" fontId="5" fillId="13" borderId="2" xfId="0" applyNumberFormat="1" applyFont="1" applyFill="1" applyBorder="1" applyAlignment="1">
      <alignment horizontal="right"/>
    </xf>
    <xf numFmtId="165" fontId="5" fillId="13" borderId="20" xfId="0" applyNumberFormat="1" applyFont="1" applyFill="1" applyBorder="1" applyAlignment="1">
      <alignment horizontal="right"/>
    </xf>
    <xf numFmtId="165" fontId="2" fillId="10" borderId="20" xfId="0" applyNumberFormat="1" applyFont="1" applyFill="1" applyBorder="1"/>
    <xf numFmtId="0" fontId="47" fillId="0" borderId="7" xfId="0" applyFont="1" applyBorder="1"/>
    <xf numFmtId="165" fontId="7" fillId="12" borderId="10" xfId="0" applyNumberFormat="1" applyFont="1" applyFill="1" applyBorder="1" applyAlignment="1">
      <alignment horizontal="right"/>
    </xf>
    <xf numFmtId="165" fontId="7" fillId="12" borderId="21" xfId="0" applyNumberFormat="1" applyFont="1" applyFill="1" applyBorder="1" applyAlignment="1">
      <alignment horizontal="right"/>
    </xf>
    <xf numFmtId="165" fontId="8" fillId="12" borderId="10" xfId="0" applyNumberFormat="1" applyFont="1" applyFill="1" applyBorder="1" applyAlignment="1">
      <alignment horizontal="right"/>
    </xf>
    <xf numFmtId="165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5" fontId="5" fillId="12" borderId="21" xfId="0" applyNumberFormat="1" applyFont="1" applyFill="1" applyBorder="1" applyAlignment="1">
      <alignment horizontal="right"/>
    </xf>
    <xf numFmtId="0" fontId="5" fillId="12" borderId="9" xfId="0" applyFont="1" applyFill="1" applyBorder="1" applyAlignment="1">
      <alignment horizontal="center"/>
    </xf>
    <xf numFmtId="165" fontId="2" fillId="11" borderId="20" xfId="0" applyNumberFormat="1" applyFont="1" applyFill="1" applyBorder="1"/>
    <xf numFmtId="165" fontId="5" fillId="7" borderId="20" xfId="0" applyNumberFormat="1" applyFont="1" applyFill="1" applyBorder="1" applyAlignment="1">
      <alignment horizontal="center" wrapText="1"/>
    </xf>
    <xf numFmtId="165" fontId="5" fillId="6" borderId="26" xfId="0" applyNumberFormat="1" applyFont="1" applyFill="1" applyBorder="1" applyAlignment="1">
      <alignment horizontal="center" vertical="center"/>
    </xf>
    <xf numFmtId="164" fontId="5" fillId="6" borderId="26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165" fontId="5" fillId="7" borderId="7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5" xfId="0" applyFont="1" applyBorder="1"/>
    <xf numFmtId="164" fontId="3" fillId="3" borderId="25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5" fillId="6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6" fontId="5" fillId="41" borderId="10" xfId="0" applyNumberFormat="1" applyFont="1" applyFill="1" applyBorder="1"/>
    <xf numFmtId="164" fontId="6" fillId="2" borderId="0" xfId="0" applyNumberFormat="1" applyFont="1" applyFill="1"/>
    <xf numFmtId="165" fontId="46" fillId="2" borderId="10" xfId="0" applyNumberFormat="1" applyFont="1" applyFill="1" applyBorder="1" applyAlignment="1">
      <alignment horizontal="right"/>
    </xf>
    <xf numFmtId="165" fontId="46" fillId="2" borderId="21" xfId="0" applyNumberFormat="1" applyFont="1" applyFill="1" applyBorder="1" applyAlignment="1">
      <alignment horizontal="right"/>
    </xf>
    <xf numFmtId="165" fontId="46" fillId="2" borderId="11" xfId="0" applyNumberFormat="1" applyFont="1" applyFill="1" applyBorder="1" applyAlignment="1">
      <alignment horizontal="right"/>
    </xf>
    <xf numFmtId="165" fontId="46" fillId="2" borderId="24" xfId="0" applyNumberFormat="1" applyFont="1" applyFill="1" applyBorder="1" applyAlignment="1">
      <alignment horizontal="right"/>
    </xf>
    <xf numFmtId="165" fontId="5" fillId="6" borderId="26" xfId="0" applyNumberFormat="1" applyFont="1" applyFill="1" applyBorder="1" applyAlignment="1">
      <alignment horizontal="center" vertical="top"/>
    </xf>
    <xf numFmtId="164" fontId="5" fillId="6" borderId="26" xfId="0" applyNumberFormat="1" applyFont="1" applyFill="1" applyBorder="1" applyAlignment="1">
      <alignment horizontal="center" vertical="top" wrapText="1"/>
    </xf>
    <xf numFmtId="0" fontId="5" fillId="6" borderId="29" xfId="0" applyFont="1" applyFill="1" applyBorder="1" applyAlignment="1">
      <alignment horizontal="center" vertical="top"/>
    </xf>
    <xf numFmtId="0" fontId="3" fillId="5" borderId="30" xfId="0" applyFont="1" applyFill="1" applyBorder="1" applyAlignment="1">
      <alignment horizontal="center" vertical="top"/>
    </xf>
    <xf numFmtId="0" fontId="3" fillId="5" borderId="29" xfId="0" applyFont="1" applyFill="1" applyBorder="1" applyAlignment="1">
      <alignment horizontal="center" vertical="top"/>
    </xf>
    <xf numFmtId="165" fontId="31" fillId="2" borderId="22" xfId="0" applyNumberFormat="1" applyFont="1" applyFill="1" applyBorder="1"/>
    <xf numFmtId="165" fontId="31" fillId="12" borderId="21" xfId="0" applyNumberFormat="1" applyFont="1" applyFill="1" applyBorder="1"/>
    <xf numFmtId="166" fontId="2" fillId="27" borderId="20" xfId="0" applyNumberFormat="1" applyFont="1" applyFill="1" applyBorder="1"/>
    <xf numFmtId="166" fontId="2" fillId="27" borderId="21" xfId="0" applyNumberFormat="1" applyFont="1" applyFill="1" applyBorder="1"/>
    <xf numFmtId="166" fontId="23" fillId="2" borderId="21" xfId="0" applyNumberFormat="1" applyFont="1" applyFill="1" applyBorder="1" applyAlignment="1">
      <alignment horizontal="right"/>
    </xf>
    <xf numFmtId="166" fontId="2" fillId="0" borderId="21" xfId="0" applyNumberFormat="1" applyFont="1" applyBorder="1"/>
    <xf numFmtId="166" fontId="2" fillId="2" borderId="21" xfId="0" applyNumberFormat="1" applyFont="1" applyFill="1" applyBorder="1"/>
    <xf numFmtId="166" fontId="5" fillId="33" borderId="31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center"/>
    </xf>
    <xf numFmtId="164" fontId="23" fillId="0" borderId="9" xfId="0" quotePrefix="1" applyNumberFormat="1" applyFont="1" applyBorder="1"/>
    <xf numFmtId="165" fontId="1" fillId="26" borderId="10" xfId="0" applyNumberFormat="1" applyFont="1" applyFill="1" applyBorder="1" applyAlignment="1">
      <alignment horizontal="right"/>
    </xf>
    <xf numFmtId="166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31" fillId="26" borderId="10" xfId="0" applyFont="1" applyFill="1" applyBorder="1"/>
    <xf numFmtId="0" fontId="31" fillId="26" borderId="9" xfId="0" applyFont="1" applyFill="1" applyBorder="1"/>
    <xf numFmtId="0" fontId="1" fillId="26" borderId="9" xfId="0" applyFont="1" applyFill="1" applyBorder="1"/>
    <xf numFmtId="164" fontId="31" fillId="26" borderId="9" xfId="0" applyNumberFormat="1" applyFont="1" applyFill="1" applyBorder="1"/>
    <xf numFmtId="164" fontId="31" fillId="26" borderId="8" xfId="0" applyNumberFormat="1" applyFont="1" applyFill="1" applyBorder="1"/>
    <xf numFmtId="0" fontId="44" fillId="0" borderId="10" xfId="0" applyFont="1" applyBorder="1"/>
    <xf numFmtId="0" fontId="44" fillId="0" borderId="9" xfId="0" applyFont="1" applyBorder="1"/>
    <xf numFmtId="164" fontId="44" fillId="0" borderId="9" xfId="0" applyNumberFormat="1" applyFont="1" applyBorder="1"/>
    <xf numFmtId="164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4" fontId="44" fillId="2" borderId="9" xfId="0" applyNumberFormat="1" applyFont="1" applyFill="1" applyBorder="1"/>
    <xf numFmtId="164" fontId="44" fillId="2" borderId="8" xfId="0" applyNumberFormat="1" applyFont="1" applyFill="1" applyBorder="1"/>
    <xf numFmtId="0" fontId="44" fillId="26" borderId="10" xfId="0" applyFont="1" applyFill="1" applyBorder="1"/>
    <xf numFmtId="0" fontId="44" fillId="26" borderId="9" xfId="0" applyFont="1" applyFill="1" applyBorder="1"/>
    <xf numFmtId="164" fontId="44" fillId="26" borderId="9" xfId="0" applyNumberFormat="1" applyFont="1" applyFill="1" applyBorder="1"/>
    <xf numFmtId="164" fontId="44" fillId="26" borderId="8" xfId="0" applyNumberFormat="1" applyFont="1" applyFill="1" applyBorder="1"/>
    <xf numFmtId="166" fontId="7" fillId="0" borderId="11" xfId="0" applyNumberFormat="1" applyFont="1" applyBorder="1" applyAlignment="1">
      <alignment horizontal="right"/>
    </xf>
    <xf numFmtId="0" fontId="7" fillId="0" borderId="11" xfId="0" applyFont="1" applyBorder="1" applyAlignment="1">
      <alignment horizontal="center"/>
    </xf>
    <xf numFmtId="166" fontId="23" fillId="24" borderId="10" xfId="0" applyNumberFormat="1" applyFont="1" applyFill="1" applyBorder="1"/>
    <xf numFmtId="166" fontId="23" fillId="2" borderId="10" xfId="0" applyNumberFormat="1" applyFont="1" applyFill="1" applyBorder="1"/>
    <xf numFmtId="0" fontId="23" fillId="2" borderId="10" xfId="0" applyFont="1" applyFill="1" applyBorder="1" applyAlignment="1">
      <alignment horizontal="center"/>
    </xf>
    <xf numFmtId="165" fontId="31" fillId="35" borderId="2" xfId="0" applyNumberFormat="1" applyFont="1" applyFill="1" applyBorder="1"/>
    <xf numFmtId="165" fontId="31" fillId="35" borderId="20" xfId="0" applyNumberFormat="1" applyFont="1" applyFill="1" applyBorder="1"/>
    <xf numFmtId="165" fontId="31" fillId="34" borderId="1" xfId="0" applyNumberFormat="1" applyFont="1" applyFill="1" applyBorder="1"/>
    <xf numFmtId="166" fontId="31" fillId="34" borderId="1" xfId="0" applyNumberFormat="1" applyFont="1" applyFill="1" applyBorder="1"/>
    <xf numFmtId="0" fontId="31" fillId="34" borderId="1" xfId="0" applyFont="1" applyFill="1" applyBorder="1"/>
    <xf numFmtId="164" fontId="31" fillId="34" borderId="1" xfId="0" applyNumberFormat="1" applyFont="1" applyFill="1" applyBorder="1"/>
    <xf numFmtId="164" fontId="1" fillId="34" borderId="7" xfId="0" applyNumberFormat="1" applyFont="1" applyFill="1" applyBorder="1"/>
    <xf numFmtId="166" fontId="7" fillId="41" borderId="10" xfId="0" applyNumberFormat="1" applyFont="1" applyFill="1" applyBorder="1"/>
    <xf numFmtId="166" fontId="7" fillId="39" borderId="10" xfId="0" applyNumberFormat="1" applyFont="1" applyFill="1" applyBorder="1" applyAlignment="1">
      <alignment horizontal="right"/>
    </xf>
    <xf numFmtId="164" fontId="7" fillId="39" borderId="10" xfId="0" applyNumberFormat="1" applyFont="1" applyFill="1" applyBorder="1" applyAlignment="1">
      <alignment horizontal="center"/>
    </xf>
    <xf numFmtId="0" fontId="32" fillId="2" borderId="9" xfId="0" quotePrefix="1" applyFont="1" applyFill="1" applyBorder="1"/>
    <xf numFmtId="0" fontId="23" fillId="0" borderId="13" xfId="0" applyFont="1" applyBorder="1"/>
    <xf numFmtId="165" fontId="31" fillId="27" borderId="2" xfId="0" applyNumberFormat="1" applyFont="1" applyFill="1" applyBorder="1"/>
    <xf numFmtId="166" fontId="31" fillId="27" borderId="2" xfId="0" applyNumberFormat="1" applyFont="1" applyFill="1" applyBorder="1"/>
    <xf numFmtId="164" fontId="31" fillId="27" borderId="2" xfId="0" applyNumberFormat="1" applyFont="1" applyFill="1" applyBorder="1"/>
    <xf numFmtId="164" fontId="31" fillId="27" borderId="1" xfId="0" applyNumberFormat="1" applyFont="1" applyFill="1" applyBorder="1"/>
    <xf numFmtId="164" fontId="31" fillId="27" borderId="7" xfId="0" applyNumberFormat="1" applyFont="1" applyFill="1" applyBorder="1"/>
    <xf numFmtId="165" fontId="31" fillId="27" borderId="10" xfId="0" applyNumberFormat="1" applyFont="1" applyFill="1" applyBorder="1"/>
    <xf numFmtId="166" fontId="31" fillId="27" borderId="10" xfId="0" applyNumberFormat="1" applyFont="1" applyFill="1" applyBorder="1"/>
    <xf numFmtId="164" fontId="31" fillId="27" borderId="10" xfId="0" applyNumberFormat="1" applyFont="1" applyFill="1" applyBorder="1"/>
    <xf numFmtId="164" fontId="31" fillId="27" borderId="9" xfId="0" applyNumberFormat="1" applyFont="1" applyFill="1" applyBorder="1"/>
    <xf numFmtId="164" fontId="31" fillId="27" borderId="8" xfId="0" applyNumberFormat="1" applyFont="1" applyFill="1" applyBorder="1"/>
    <xf numFmtId="164" fontId="32" fillId="23" borderId="9" xfId="0" quotePrefix="1" applyNumberFormat="1" applyFont="1" applyFill="1" applyBorder="1"/>
    <xf numFmtId="164" fontId="45" fillId="2" borderId="9" xfId="0" applyNumberFormat="1" applyFont="1" applyFill="1" applyBorder="1"/>
    <xf numFmtId="164" fontId="32" fillId="2" borderId="9" xfId="0" applyNumberFormat="1" applyFont="1" applyFill="1" applyBorder="1"/>
    <xf numFmtId="165" fontId="1" fillId="33" borderId="19" xfId="0" applyNumberFormat="1" applyFont="1" applyFill="1" applyBorder="1" applyAlignment="1">
      <alignment horizontal="right"/>
    </xf>
    <xf numFmtId="166" fontId="1" fillId="33" borderId="19" xfId="0" applyNumberFormat="1" applyFont="1" applyFill="1" applyBorder="1" applyAlignment="1">
      <alignment horizontal="right"/>
    </xf>
    <xf numFmtId="164" fontId="1" fillId="33" borderId="19" xfId="0" applyNumberFormat="1" applyFont="1" applyFill="1" applyBorder="1" applyAlignment="1">
      <alignment horizontal="center" wrapText="1"/>
    </xf>
    <xf numFmtId="0" fontId="31" fillId="33" borderId="19" xfId="0" applyFont="1" applyFill="1" applyBorder="1"/>
    <xf numFmtId="0" fontId="31" fillId="33" borderId="18" xfId="0" applyFont="1" applyFill="1" applyBorder="1"/>
    <xf numFmtId="164" fontId="31" fillId="33" borderId="18" xfId="0" applyNumberFormat="1" applyFont="1" applyFill="1" applyBorder="1"/>
    <xf numFmtId="167" fontId="31" fillId="33" borderId="18" xfId="0" applyNumberFormat="1" applyFont="1" applyFill="1" applyBorder="1"/>
    <xf numFmtId="164" fontId="1" fillId="33" borderId="18" xfId="0" applyNumberFormat="1" applyFont="1" applyFill="1" applyBorder="1"/>
    <xf numFmtId="167" fontId="31" fillId="33" borderId="17" xfId="0" applyNumberFormat="1" applyFont="1" applyFill="1" applyBorder="1"/>
    <xf numFmtId="165" fontId="44" fillId="0" borderId="2" xfId="0" applyNumberFormat="1" applyFont="1" applyBorder="1"/>
    <xf numFmtId="165" fontId="44" fillId="0" borderId="20" xfId="0" applyNumberFormat="1" applyFont="1" applyBorder="1"/>
    <xf numFmtId="0" fontId="44" fillId="0" borderId="2" xfId="0" applyFont="1" applyBorder="1"/>
    <xf numFmtId="0" fontId="44" fillId="0" borderId="1" xfId="0" applyFont="1" applyBorder="1"/>
    <xf numFmtId="164" fontId="44" fillId="0" borderId="1" xfId="0" applyNumberFormat="1" applyFont="1" applyBorder="1"/>
    <xf numFmtId="164" fontId="44" fillId="0" borderId="7" xfId="0" applyNumberFormat="1" applyFont="1" applyBorder="1"/>
    <xf numFmtId="165" fontId="23" fillId="2" borderId="11" xfId="0" applyNumberFormat="1" applyFont="1" applyFill="1" applyBorder="1" applyAlignment="1">
      <alignment horizontal="right"/>
    </xf>
    <xf numFmtId="166" fontId="23" fillId="24" borderId="11" xfId="0" applyNumberFormat="1" applyFont="1" applyFill="1" applyBorder="1" applyAlignment="1">
      <alignment horizontal="right"/>
    </xf>
    <xf numFmtId="166" fontId="23" fillId="2" borderId="11" xfId="0" applyNumberFormat="1" applyFont="1" applyFill="1" applyBorder="1" applyAlignment="1">
      <alignment horizontal="right"/>
    </xf>
    <xf numFmtId="164" fontId="23" fillId="2" borderId="11" xfId="0" applyNumberFormat="1" applyFont="1" applyFill="1" applyBorder="1" applyAlignment="1">
      <alignment horizontal="center"/>
    </xf>
    <xf numFmtId="0" fontId="31" fillId="2" borderId="11" xfId="0" applyFont="1" applyFill="1" applyBorder="1"/>
    <xf numFmtId="0" fontId="31" fillId="2" borderId="13" xfId="0" applyFont="1" applyFill="1" applyBorder="1"/>
    <xf numFmtId="0" fontId="23" fillId="2" borderId="13" xfId="0" quotePrefix="1" applyFont="1" applyFill="1" applyBorder="1"/>
    <xf numFmtId="164" fontId="31" fillId="2" borderId="13" xfId="0" applyNumberFormat="1" applyFont="1" applyFill="1" applyBorder="1"/>
    <xf numFmtId="46" fontId="31" fillId="2" borderId="12" xfId="0" applyNumberFormat="1" applyFont="1" applyFill="1" applyBorder="1"/>
    <xf numFmtId="165" fontId="5" fillId="6" borderId="2" xfId="0" applyNumberFormat="1" applyFont="1" applyFill="1" applyBorder="1" applyAlignment="1">
      <alignment horizontal="center"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170" fontId="7" fillId="24" borderId="10" xfId="0" applyNumberFormat="1" applyFont="1" applyFill="1" applyBorder="1" applyAlignment="1">
      <alignment horizontal="right"/>
    </xf>
    <xf numFmtId="0" fontId="7" fillId="24" borderId="10" xfId="0" applyFont="1" applyFill="1" applyBorder="1" applyAlignment="1">
      <alignment horizontal="right"/>
    </xf>
    <xf numFmtId="165" fontId="7" fillId="2" borderId="24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17" activePane="bottomRight" state="frozen"/>
      <selection activeCell="W87" sqref="W87"/>
      <selection pane="topRight" activeCell="W87" sqref="W87"/>
      <selection pane="bottomLeft" activeCell="W87" sqref="W87"/>
      <selection pane="bottomRight" activeCell="Y58" sqref="Y58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5.85546875" bestFit="1" customWidth="1"/>
    <col min="14" max="14" width="23.85546875" bestFit="1" customWidth="1"/>
    <col min="15" max="15" width="19.28515625" bestFit="1" customWidth="1"/>
    <col min="16" max="16" width="21.28515625" bestFit="1" customWidth="1"/>
    <col min="17" max="19" width="23.8554687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517" t="s">
        <v>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9.5" x14ac:dyDescent="0.3">
      <c r="A2" s="517" t="s">
        <v>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</row>
    <row r="3" spans="1:21" ht="19.5" x14ac:dyDescent="0.3">
      <c r="A3" s="517" t="s">
        <v>346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519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530" t="s">
        <v>4</v>
      </c>
      <c r="B5" s="518"/>
      <c r="C5" s="518"/>
      <c r="D5" s="518"/>
      <c r="E5" s="518"/>
      <c r="F5" s="518"/>
      <c r="G5" s="531"/>
      <c r="H5" s="4" t="s">
        <v>5</v>
      </c>
      <c r="I5" s="523" t="s">
        <v>6</v>
      </c>
      <c r="J5" s="514"/>
      <c r="K5" s="515"/>
      <c r="L5" s="516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53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34">
        <f t="shared" ref="L18:N18" ca="1" si="0">L19+L20</f>
        <v>100638069</v>
      </c>
      <c r="M18" s="34">
        <f t="shared" ca="1" si="0"/>
        <v>108293593.98</v>
      </c>
      <c r="N18" s="34">
        <f t="shared" ca="1" si="0"/>
        <v>72926225.889999986</v>
      </c>
      <c r="O18" s="34">
        <f t="shared" ref="O18:O26" ca="1" si="1">IF(L18&gt;0,N18*100/L18,0)</f>
        <v>72.463856485561124</v>
      </c>
      <c r="P18" s="34">
        <f t="shared" ref="P18:P26" ca="1" si="2">IF(M18&gt;0,N18*100/M18,0)</f>
        <v>67.341218635211447</v>
      </c>
      <c r="Q18" s="34">
        <f t="shared" ref="Q18:S18" ca="1" si="3">Q19+Q20</f>
        <v>53444570.039999999</v>
      </c>
      <c r="R18" s="34">
        <f t="shared" ca="1" si="3"/>
        <v>53057793</v>
      </c>
      <c r="S18" s="34">
        <f t="shared" ca="1" si="3"/>
        <v>30965386.91</v>
      </c>
      <c r="T18" s="34">
        <f t="shared" ref="T18:T26" ca="1" si="4">IF(Q18&gt;0,S18*100/Q18,0)</f>
        <v>57.939257228235341</v>
      </c>
      <c r="U18" s="34">
        <f t="shared" ref="U18:U26" ca="1" si="5">IF(R18&gt;0,S18*100/R18,0)</f>
        <v>58.361618829490325</v>
      </c>
    </row>
    <row r="19" spans="1:21" ht="18.75" hidden="1" x14ac:dyDescent="0.25">
      <c r="A19" s="26"/>
      <c r="B19" s="27"/>
      <c r="C19" s="27"/>
      <c r="D19" s="27"/>
      <c r="E19" s="35" t="s">
        <v>20</v>
      </c>
      <c r="F19" s="27"/>
      <c r="G19" s="30"/>
      <c r="H19" s="36" t="s">
        <v>14</v>
      </c>
      <c r="I19" s="32"/>
      <c r="J19" s="32"/>
      <c r="K19" s="33"/>
      <c r="L19" s="37">
        <f t="shared" ref="L19:N19" ca="1" si="6">L22+L25</f>
        <v>0</v>
      </c>
      <c r="M19" s="37">
        <f t="shared" ca="1" si="6"/>
        <v>0</v>
      </c>
      <c r="N19" s="37">
        <f t="shared" ca="1" si="6"/>
        <v>0</v>
      </c>
      <c r="O19" s="37">
        <f t="shared" ca="1" si="1"/>
        <v>0</v>
      </c>
      <c r="P19" s="37">
        <f t="shared" ca="1" si="2"/>
        <v>0</v>
      </c>
      <c r="Q19" s="37">
        <f t="shared" ref="Q19:S19" ca="1" si="7">Q22+Q25</f>
        <v>0</v>
      </c>
      <c r="R19" s="37">
        <f t="shared" ca="1" si="7"/>
        <v>0</v>
      </c>
      <c r="S19" s="37">
        <f t="shared" ca="1" si="7"/>
        <v>0</v>
      </c>
      <c r="T19" s="37">
        <f t="shared" ca="1" si="4"/>
        <v>0</v>
      </c>
      <c r="U19" s="37">
        <f t="shared" ca="1" si="5"/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38">
        <f t="shared" ref="L20:N20" ca="1" si="8">L23+L26</f>
        <v>100638069</v>
      </c>
      <c r="M20" s="38">
        <f t="shared" ca="1" si="8"/>
        <v>108293593.98</v>
      </c>
      <c r="N20" s="38">
        <f t="shared" ca="1" si="8"/>
        <v>72926225.889999986</v>
      </c>
      <c r="O20" s="38">
        <f t="shared" ca="1" si="1"/>
        <v>72.463856485561124</v>
      </c>
      <c r="P20" s="38">
        <f t="shared" ca="1" si="2"/>
        <v>67.341218635211447</v>
      </c>
      <c r="Q20" s="38">
        <f t="shared" ref="Q20:S20" ca="1" si="9">Q23+Q26</f>
        <v>53444570.039999999</v>
      </c>
      <c r="R20" s="38">
        <f t="shared" ca="1" si="9"/>
        <v>53057793</v>
      </c>
      <c r="S20" s="38">
        <f t="shared" ca="1" si="9"/>
        <v>30965386.91</v>
      </c>
      <c r="T20" s="38">
        <f t="shared" ca="1" si="4"/>
        <v>57.939257228235341</v>
      </c>
      <c r="U20" s="38">
        <f t="shared" ca="1" si="5"/>
        <v>58.361618829490325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">
        <f t="shared" ref="L21:N21" ca="1" si="10">L22+L23</f>
        <v>61546469</v>
      </c>
      <c r="M21" s="46">
        <f t="shared" ca="1" si="10"/>
        <v>69723680.75</v>
      </c>
      <c r="N21" s="46">
        <f t="shared" ca="1" si="10"/>
        <v>57893372.36999999</v>
      </c>
      <c r="O21" s="46">
        <f t="shared" ca="1" si="1"/>
        <v>94.064490312189946</v>
      </c>
      <c r="P21" s="46">
        <f t="shared" ca="1" si="2"/>
        <v>83.032581968214572</v>
      </c>
      <c r="Q21" s="46">
        <f t="shared" ref="Q21:S21" ca="1" si="11">Q22+Q23</f>
        <v>48041047.039999999</v>
      </c>
      <c r="R21" s="46">
        <f t="shared" ca="1" si="11"/>
        <v>47654270</v>
      </c>
      <c r="S21" s="46">
        <f t="shared" ca="1" si="11"/>
        <v>30657863.91</v>
      </c>
      <c r="T21" s="46">
        <f t="shared" ca="1" si="4"/>
        <v>63.815977791811257</v>
      </c>
      <c r="U21" s="46">
        <f t="shared" ca="1" si="5"/>
        <v>64.333928334229014</v>
      </c>
    </row>
    <row r="22" spans="1:21" ht="18.75" hidden="1" x14ac:dyDescent="0.25">
      <c r="A22" s="39"/>
      <c r="B22" s="40"/>
      <c r="C22" s="40"/>
      <c r="D22" s="40"/>
      <c r="E22" s="47" t="s">
        <v>20</v>
      </c>
      <c r="F22" s="40"/>
      <c r="G22" s="42"/>
      <c r="H22" s="43" t="s">
        <v>14</v>
      </c>
      <c r="I22" s="44"/>
      <c r="J22" s="44"/>
      <c r="K22" s="45"/>
      <c r="L22" s="48">
        <f t="shared" ref="L22:N22" ca="1" si="12">L48+L63+L76+L98+L121+L143+L161+L190+L177+L270+L286+L307+L324+L337+L360+L379+L396+L417+L497+L517+L538+L559+L580+L603+L620+L646+L694+L718+L732+L764</f>
        <v>0</v>
      </c>
      <c r="M22" s="48">
        <f t="shared" ca="1" si="12"/>
        <v>0</v>
      </c>
      <c r="N22" s="48">
        <f t="shared" ca="1" si="12"/>
        <v>0</v>
      </c>
      <c r="O22" s="48">
        <f t="shared" ca="1" si="1"/>
        <v>0</v>
      </c>
      <c r="P22" s="48">
        <f t="shared" ca="1" si="2"/>
        <v>0</v>
      </c>
      <c r="Q22" s="48">
        <f t="shared" ref="Q22:S22" ca="1" si="13">Q48+Q63+Q76+Q98+Q121+Q143+Q161+Q190+Q177+Q270+Q286+Q307+Q324+Q337+Q360+Q379+Q396+Q417+Q497+Q517+Q538+Q559+Q580+Q603+Q620+Q646+Q694+Q718+Q732+Q764</f>
        <v>0</v>
      </c>
      <c r="R22" s="48">
        <f t="shared" ca="1" si="13"/>
        <v>0</v>
      </c>
      <c r="S22" s="48">
        <f t="shared" ca="1" si="13"/>
        <v>0</v>
      </c>
      <c r="T22" s="48">
        <f t="shared" ca="1" si="4"/>
        <v>0</v>
      </c>
      <c r="U22" s="48">
        <f t="shared" ca="1" si="5"/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">
        <f t="shared" ref="L23:N23" ca="1" si="14">L49+L64+L77+L99+L122+L144+L162+L191+L178+L271+L287+L308+L325+L338+L361+L380+L418+L498+L518+L539+L560+L581+L604+L621+L647+L695+L719+L733+L765</f>
        <v>61546469</v>
      </c>
      <c r="M23" s="46">
        <f t="shared" ca="1" si="14"/>
        <v>69723680.75</v>
      </c>
      <c r="N23" s="46">
        <f t="shared" ca="1" si="14"/>
        <v>57893372.36999999</v>
      </c>
      <c r="O23" s="46">
        <f t="shared" ca="1" si="1"/>
        <v>94.064490312189946</v>
      </c>
      <c r="P23" s="46">
        <f t="shared" ca="1" si="2"/>
        <v>83.032581968214572</v>
      </c>
      <c r="Q23" s="46">
        <f t="shared" ref="Q23:S23" ca="1" si="15">Q49+Q64+Q77+Q99+Q122+Q144+Q162+Q191+Q178+Q271+Q287+Q308+Q325+Q338+Q361+Q380+Q397+Q418+Q498+Q518+Q539+Q560+Q581+Q604+Q621+Q647+Q695+Q719+Q733+Q765</f>
        <v>48041047.039999999</v>
      </c>
      <c r="R23" s="46">
        <f t="shared" ca="1" si="15"/>
        <v>47654270</v>
      </c>
      <c r="S23" s="46">
        <f t="shared" ca="1" si="15"/>
        <v>30657863.91</v>
      </c>
      <c r="T23" s="46">
        <f t="shared" ca="1" si="4"/>
        <v>63.815977791811257</v>
      </c>
      <c r="U23" s="46">
        <f t="shared" ca="1" si="5"/>
        <v>64.333928334229014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">
        <f t="shared" ref="L24:N24" ca="1" si="16">L25+L26</f>
        <v>39091600</v>
      </c>
      <c r="M24" s="46">
        <f t="shared" ca="1" si="16"/>
        <v>38569913.230000004</v>
      </c>
      <c r="N24" s="46">
        <f t="shared" ca="1" si="16"/>
        <v>15032853.52</v>
      </c>
      <c r="O24" s="46">
        <f t="shared" ca="1" si="1"/>
        <v>38.455457233779121</v>
      </c>
      <c r="P24" s="46">
        <f t="shared" ca="1" si="2"/>
        <v>38.975595901282247</v>
      </c>
      <c r="Q24" s="46">
        <f t="shared" ref="Q24:S24" ca="1" si="17">Q25+Q26</f>
        <v>5403523</v>
      </c>
      <c r="R24" s="46">
        <f t="shared" ca="1" si="17"/>
        <v>5403523</v>
      </c>
      <c r="S24" s="46">
        <f t="shared" ca="1" si="17"/>
        <v>307523</v>
      </c>
      <c r="T24" s="46">
        <f t="shared" ca="1" si="4"/>
        <v>5.6911574171147228</v>
      </c>
      <c r="U24" s="46">
        <f t="shared" ca="1" si="5"/>
        <v>5.6911574171147228</v>
      </c>
    </row>
    <row r="25" spans="1:21" ht="18.75" hidden="1" x14ac:dyDescent="0.25">
      <c r="A25" s="39"/>
      <c r="B25" s="40"/>
      <c r="C25" s="40"/>
      <c r="D25" s="40"/>
      <c r="E25" s="47" t="s">
        <v>20</v>
      </c>
      <c r="F25" s="40"/>
      <c r="G25" s="42"/>
      <c r="H25" s="43" t="s">
        <v>14</v>
      </c>
      <c r="I25" s="44"/>
      <c r="J25" s="44"/>
      <c r="K25" s="45"/>
      <c r="L25" s="48">
        <f t="shared" ref="L25:N25" ca="1" si="18">L51+L66+L79+L101+L124+L146+L164+L193+L180+L273+L289+L310+L327+L340+L363+L382+L399+L420+L500+L520+L541+L562+L583+L606+L623+L649+L697+L721+L735+L767</f>
        <v>0</v>
      </c>
      <c r="M25" s="48">
        <f t="shared" ca="1" si="18"/>
        <v>0</v>
      </c>
      <c r="N25" s="48">
        <f t="shared" ca="1" si="18"/>
        <v>0</v>
      </c>
      <c r="O25" s="48">
        <f t="shared" ca="1" si="1"/>
        <v>0</v>
      </c>
      <c r="P25" s="48">
        <f t="shared" ca="1" si="2"/>
        <v>0</v>
      </c>
      <c r="Q25" s="48">
        <f t="shared" ref="Q25:S25" ca="1" si="19">Q51+Q66+Q79+Q101+Q124+Q146+Q164+Q193+Q180+Q273+Q289+Q310+Q327+Q340+Q363+Q382+Q399+Q420+Q500+Q520+Q541+Q562+Q583+Q606+Q623+Q649+Q697+Q721+Q735+Q767</f>
        <v>0</v>
      </c>
      <c r="R25" s="48">
        <f t="shared" ca="1" si="19"/>
        <v>0</v>
      </c>
      <c r="S25" s="48">
        <f t="shared" ca="1" si="19"/>
        <v>0</v>
      </c>
      <c r="T25" s="48">
        <f t="shared" ca="1" si="4"/>
        <v>0</v>
      </c>
      <c r="U25" s="48">
        <f t="shared" ca="1" si="5"/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">
        <f t="shared" ref="L26:N26" ca="1" si="20">L52+L67+L80+L102+L125+L147+L165+L194+L181+L274+L290+L311+L328+L341+L364+L383+L421+L501+L521+L542+L563+L584+L607+L624+L650+L698+L722+L736+L768</f>
        <v>39091600</v>
      </c>
      <c r="M26" s="46">
        <f t="shared" ca="1" si="20"/>
        <v>38569913.230000004</v>
      </c>
      <c r="N26" s="46">
        <f t="shared" ca="1" si="20"/>
        <v>15032853.52</v>
      </c>
      <c r="O26" s="46">
        <f t="shared" ca="1" si="1"/>
        <v>38.455457233779121</v>
      </c>
      <c r="P26" s="46">
        <f t="shared" ca="1" si="2"/>
        <v>38.975595901282247</v>
      </c>
      <c r="Q26" s="48">
        <f t="shared" ref="Q26:S26" ca="1" si="21">Q52+Q67+Q80+Q102+Q125+Q147+Q165+Q194+Q181+Q274+Q290+Q311+Q328+Q341+Q364+Q383+Q400+Q421+Q501+Q521+Q542+Q563+Q584+Q607+Q624+Q650+Q698+Q722+Q736+Q768</f>
        <v>5403523</v>
      </c>
      <c r="R26" s="48">
        <f t="shared" ca="1" si="21"/>
        <v>5403523</v>
      </c>
      <c r="S26" s="48">
        <f t="shared" ca="1" si="21"/>
        <v>307523</v>
      </c>
      <c r="T26" s="46">
        <f t="shared" ca="1" si="4"/>
        <v>5.6911574171147228</v>
      </c>
      <c r="U26" s="46">
        <f t="shared" ca="1" si="5"/>
        <v>5.6911574171147228</v>
      </c>
    </row>
    <row r="27" spans="1:21" ht="18.75" hidden="1" x14ac:dyDescent="0.25">
      <c r="A27" s="39"/>
      <c r="B27" s="40"/>
      <c r="C27" s="40"/>
      <c r="D27" s="49" t="s">
        <v>24</v>
      </c>
      <c r="E27" s="40"/>
      <c r="F27" s="40"/>
      <c r="G27" s="42"/>
      <c r="H27" s="43" t="s">
        <v>14</v>
      </c>
      <c r="I27" s="44"/>
      <c r="J27" s="44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47" t="s">
        <v>20</v>
      </c>
      <c r="F28" s="40"/>
      <c r="G28" s="42"/>
      <c r="H28" s="43" t="s">
        <v>14</v>
      </c>
      <c r="I28" s="44"/>
      <c r="J28" s="44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53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73" t="s">
        <v>19</v>
      </c>
      <c r="E44" s="71"/>
      <c r="F44" s="71"/>
      <c r="G44" s="74"/>
      <c r="H44" s="75" t="s">
        <v>14</v>
      </c>
      <c r="I44" s="76"/>
      <c r="J44" s="76"/>
      <c r="K44" s="77"/>
      <c r="L44" s="78">
        <f t="shared" ref="L44:N44" ca="1" si="22">L45+L46</f>
        <v>9461707</v>
      </c>
      <c r="M44" s="78">
        <f t="shared" ca="1" si="22"/>
        <v>11335657.75</v>
      </c>
      <c r="N44" s="78">
        <f t="shared" ca="1" si="22"/>
        <v>10343889.52</v>
      </c>
      <c r="O44" s="78">
        <f t="shared" ref="O44:O52" ca="1" si="23">IF(L44&gt;0,N44*100/L44,0)</f>
        <v>109.32371420928591</v>
      </c>
      <c r="P44" s="78">
        <f t="shared" ref="P44:P52" ca="1" si="24">IF(M44&gt;0,N44*100/M44,0)</f>
        <v>91.250898255110073</v>
      </c>
      <c r="Q44" s="78">
        <f t="shared" ref="Q44:S44" ca="1" si="25">Q45+Q46</f>
        <v>0</v>
      </c>
      <c r="R44" s="78">
        <f t="shared" ca="1" si="25"/>
        <v>0</v>
      </c>
      <c r="S44" s="78">
        <f t="shared" ca="1" si="25"/>
        <v>0</v>
      </c>
      <c r="T44" s="78">
        <f t="shared" ref="T44:T52" ca="1" si="26">IF(Q44&gt;0,S44*100/Q44,0)</f>
        <v>0</v>
      </c>
      <c r="U44" s="78">
        <f t="shared" ref="U44:U52" ca="1" si="27">IF(R44&gt;0,S44*100/R44,0)</f>
        <v>0</v>
      </c>
    </row>
    <row r="45" spans="1:21" ht="18.75" hidden="1" x14ac:dyDescent="0.25">
      <c r="A45" s="70"/>
      <c r="B45" s="71"/>
      <c r="C45" s="71"/>
      <c r="D45" s="71"/>
      <c r="E45" s="79" t="s">
        <v>20</v>
      </c>
      <c r="F45" s="71"/>
      <c r="G45" s="74"/>
      <c r="H45" s="80" t="s">
        <v>14</v>
      </c>
      <c r="I45" s="76"/>
      <c r="J45" s="76"/>
      <c r="K45" s="77"/>
      <c r="L45" s="81">
        <f t="shared" ref="L45:N45" si="28">L48+L51</f>
        <v>0</v>
      </c>
      <c r="M45" s="81">
        <f t="shared" si="28"/>
        <v>0</v>
      </c>
      <c r="N45" s="81">
        <f t="shared" si="28"/>
        <v>0</v>
      </c>
      <c r="O45" s="81">
        <f t="shared" si="23"/>
        <v>0</v>
      </c>
      <c r="P45" s="81">
        <f t="shared" si="24"/>
        <v>0</v>
      </c>
      <c r="Q45" s="81">
        <f t="shared" ref="Q45:S45" si="29">Q48+Q51</f>
        <v>0</v>
      </c>
      <c r="R45" s="81">
        <f t="shared" si="29"/>
        <v>0</v>
      </c>
      <c r="S45" s="81">
        <f t="shared" si="29"/>
        <v>0</v>
      </c>
      <c r="T45" s="81">
        <f t="shared" si="26"/>
        <v>0</v>
      </c>
      <c r="U45" s="81">
        <f t="shared" si="27"/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82">
        <f t="shared" ref="L46:N46" ca="1" si="30">L49+L52</f>
        <v>9461707</v>
      </c>
      <c r="M46" s="82">
        <f t="shared" ca="1" si="30"/>
        <v>11335657.75</v>
      </c>
      <c r="N46" s="82">
        <f t="shared" ca="1" si="30"/>
        <v>10343889.52</v>
      </c>
      <c r="O46" s="82">
        <f t="shared" ca="1" si="23"/>
        <v>109.32371420928591</v>
      </c>
      <c r="P46" s="82">
        <f t="shared" ca="1" si="24"/>
        <v>91.250898255110073</v>
      </c>
      <c r="Q46" s="82">
        <f t="shared" ref="Q46:S46" ca="1" si="31">Q49+Q52</f>
        <v>0</v>
      </c>
      <c r="R46" s="82">
        <f t="shared" ca="1" si="31"/>
        <v>0</v>
      </c>
      <c r="S46" s="82">
        <f t="shared" ca="1" si="31"/>
        <v>0</v>
      </c>
      <c r="T46" s="82">
        <f t="shared" ca="1" si="26"/>
        <v>0</v>
      </c>
      <c r="U46" s="82">
        <f t="shared" ca="1" si="27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">
        <f t="shared" ref="L47:N47" ca="1" si="32">L48+L49</f>
        <v>9461707</v>
      </c>
      <c r="M47" s="46">
        <f t="shared" ca="1" si="32"/>
        <v>11335657.75</v>
      </c>
      <c r="N47" s="46">
        <f t="shared" ca="1" si="32"/>
        <v>10343889.52</v>
      </c>
      <c r="O47" s="46">
        <f t="shared" ca="1" si="23"/>
        <v>109.32371420928591</v>
      </c>
      <c r="P47" s="46">
        <f t="shared" ca="1" si="24"/>
        <v>91.250898255110073</v>
      </c>
      <c r="Q47" s="46">
        <f t="shared" ref="Q47:S47" ca="1" si="33">Q48+Q49</f>
        <v>0</v>
      </c>
      <c r="R47" s="46">
        <f t="shared" ca="1" si="33"/>
        <v>0</v>
      </c>
      <c r="S47" s="46">
        <f t="shared" ca="1" si="33"/>
        <v>0</v>
      </c>
      <c r="T47" s="46">
        <f t="shared" ca="1" si="26"/>
        <v>0</v>
      </c>
      <c r="U47" s="46">
        <f t="shared" ca="1" si="27"/>
        <v>0</v>
      </c>
    </row>
    <row r="48" spans="1:21" ht="18.75" hidden="1" x14ac:dyDescent="0.25">
      <c r="A48" s="39"/>
      <c r="B48" s="40"/>
      <c r="C48" s="40"/>
      <c r="D48" s="40"/>
      <c r="E48" s="47" t="s">
        <v>20</v>
      </c>
      <c r="F48" s="40"/>
      <c r="G48" s="42"/>
      <c r="H48" s="43" t="s">
        <v>14</v>
      </c>
      <c r="I48" s="44"/>
      <c r="J48" s="44"/>
      <c r="K48" s="45"/>
      <c r="L48" s="83">
        <v>0</v>
      </c>
      <c r="M48" s="83">
        <v>0</v>
      </c>
      <c r="N48" s="83">
        <v>0</v>
      </c>
      <c r="O48" s="48">
        <f t="shared" si="23"/>
        <v>0</v>
      </c>
      <c r="P48" s="48">
        <f t="shared" si="24"/>
        <v>0</v>
      </c>
      <c r="Q48" s="83">
        <v>0</v>
      </c>
      <c r="R48" s="83">
        <v>0</v>
      </c>
      <c r="S48" s="83">
        <v>0</v>
      </c>
      <c r="T48" s="48">
        <f t="shared" si="26"/>
        <v>0</v>
      </c>
      <c r="U48" s="48">
        <f t="shared" si="27"/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9461707)</f>
        <v>9461707</v>
      </c>
      <c r="M49" s="46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11335657.75)</f>
        <v>11335657.75</v>
      </c>
      <c r="N49" s="46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10343889.52)</f>
        <v>10343889.52</v>
      </c>
      <c r="O49" s="46">
        <f t="shared" ca="1" si="23"/>
        <v>109.32371420928591</v>
      </c>
      <c r="P49" s="46">
        <f t="shared" ca="1" si="24"/>
        <v>91.250898255110073</v>
      </c>
      <c r="Q49" s="46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49" s="46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49" s="46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49" s="46">
        <f t="shared" ca="1" si="26"/>
        <v>0</v>
      </c>
      <c r="U49" s="46">
        <f t="shared" ca="1" si="27"/>
        <v>0</v>
      </c>
    </row>
    <row r="50" spans="1:21" ht="18.75" x14ac:dyDescent="0.25">
      <c r="A50" s="39"/>
      <c r="B50" s="40"/>
      <c r="C50" s="40"/>
      <c r="D50" s="49" t="s">
        <v>23</v>
      </c>
      <c r="E50" s="40"/>
      <c r="F50" s="40"/>
      <c r="G50" s="42"/>
      <c r="H50" s="43" t="s">
        <v>14</v>
      </c>
      <c r="I50" s="44"/>
      <c r="J50" s="44"/>
      <c r="K50" s="45"/>
      <c r="L50" s="46">
        <f t="shared" ref="L50:N50" ca="1" si="34">L51+L52</f>
        <v>0</v>
      </c>
      <c r="M50" s="46">
        <f t="shared" ca="1" si="34"/>
        <v>0</v>
      </c>
      <c r="N50" s="46">
        <f t="shared" ca="1" si="34"/>
        <v>0</v>
      </c>
      <c r="O50" s="46">
        <f t="shared" ca="1" si="23"/>
        <v>0</v>
      </c>
      <c r="P50" s="46">
        <f t="shared" ca="1" si="24"/>
        <v>0</v>
      </c>
      <c r="Q50" s="46">
        <f t="shared" ref="Q50:S50" ca="1" si="35">Q51+Q52</f>
        <v>0</v>
      </c>
      <c r="R50" s="46">
        <f t="shared" ca="1" si="35"/>
        <v>0</v>
      </c>
      <c r="S50" s="46">
        <f t="shared" ca="1" si="35"/>
        <v>0</v>
      </c>
      <c r="T50" s="46">
        <f t="shared" ca="1" si="26"/>
        <v>0</v>
      </c>
      <c r="U50" s="46">
        <f t="shared" ca="1" si="27"/>
        <v>0</v>
      </c>
    </row>
    <row r="51" spans="1:21" ht="18.75" hidden="1" x14ac:dyDescent="0.25">
      <c r="A51" s="39"/>
      <c r="B51" s="40"/>
      <c r="C51" s="40"/>
      <c r="D51" s="40"/>
      <c r="E51" s="47" t="s">
        <v>20</v>
      </c>
      <c r="F51" s="40"/>
      <c r="G51" s="42"/>
      <c r="H51" s="43" t="s">
        <v>14</v>
      </c>
      <c r="I51" s="44"/>
      <c r="J51" s="44"/>
      <c r="K51" s="45"/>
      <c r="L51" s="83">
        <v>0</v>
      </c>
      <c r="M51" s="83">
        <v>0</v>
      </c>
      <c r="N51" s="83">
        <v>0</v>
      </c>
      <c r="O51" s="48">
        <f t="shared" si="23"/>
        <v>0</v>
      </c>
      <c r="P51" s="48">
        <f t="shared" si="24"/>
        <v>0</v>
      </c>
      <c r="Q51" s="83">
        <v>0</v>
      </c>
      <c r="R51" s="83">
        <v>0</v>
      </c>
      <c r="S51" s="83">
        <v>0</v>
      </c>
      <c r="T51" s="48">
        <f t="shared" si="26"/>
        <v>0</v>
      </c>
      <c r="U51" s="48">
        <f t="shared" si="27"/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2" s="46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2" s="46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2" s="46">
        <f t="shared" ca="1" si="23"/>
        <v>0</v>
      </c>
      <c r="P52" s="46">
        <f t="shared" ca="1" si="24"/>
        <v>0</v>
      </c>
      <c r="Q52" s="46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2" s="46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2" s="46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2" s="46">
        <f t="shared" ca="1" si="26"/>
        <v>0</v>
      </c>
      <c r="U52" s="46">
        <f t="shared" ca="1" si="27"/>
        <v>0</v>
      </c>
    </row>
    <row r="53" spans="1:21" ht="18.75" hidden="1" x14ac:dyDescent="0.25">
      <c r="A53" s="39"/>
      <c r="B53" s="40"/>
      <c r="C53" s="40"/>
      <c r="D53" s="49" t="s">
        <v>24</v>
      </c>
      <c r="E53" s="40"/>
      <c r="F53" s="40"/>
      <c r="G53" s="42"/>
      <c r="H53" s="43" t="s">
        <v>14</v>
      </c>
      <c r="I53" s="44"/>
      <c r="J53" s="44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47" t="s">
        <v>20</v>
      </c>
      <c r="F54" s="40"/>
      <c r="G54" s="42"/>
      <c r="H54" s="43" t="s">
        <v>14</v>
      </c>
      <c r="I54" s="44"/>
      <c r="J54" s="44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40928700</v>
      </c>
      <c r="M59" s="106">
        <f t="shared" ca="1" si="36"/>
        <v>41629287.230000004</v>
      </c>
      <c r="N59" s="106">
        <f t="shared" ca="1" si="36"/>
        <v>25765108.600000001</v>
      </c>
      <c r="O59" s="106">
        <f t="shared" ref="O59:O67" ca="1" si="37">IF(L59&gt;0,N59*100/L59,0)</f>
        <v>62.951201968300971</v>
      </c>
      <c r="P59" s="106">
        <f t="shared" ref="P59:P67" ca="1" si="38">IF(M59&gt;0,N59*100/M59,0)</f>
        <v>61.891784160629257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10">
        <f t="shared" ref="Q60:S60" ca="1" si="43">Q63+Q66</f>
        <v>0</v>
      </c>
      <c r="R60" s="110">
        <f t="shared" ca="1" si="43"/>
        <v>0</v>
      </c>
      <c r="S60" s="110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40928700</v>
      </c>
      <c r="M61" s="109">
        <f t="shared" ca="1" si="44"/>
        <v>41629287.230000004</v>
      </c>
      <c r="N61" s="109">
        <f t="shared" ca="1" si="44"/>
        <v>25765108.600000001</v>
      </c>
      <c r="O61" s="109">
        <f t="shared" ca="1" si="37"/>
        <v>62.951201968300971</v>
      </c>
      <c r="P61" s="109">
        <f t="shared" ca="1" si="38"/>
        <v>61.891784160629257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">
        <f t="shared" ref="L62:N62" ca="1" si="46">L63+L64</f>
        <v>12902100</v>
      </c>
      <c r="M62" s="46">
        <f t="shared" ca="1" si="46"/>
        <v>13376224</v>
      </c>
      <c r="N62" s="46">
        <f t="shared" ca="1" si="46"/>
        <v>12651105.08</v>
      </c>
      <c r="O62" s="46">
        <f t="shared" ca="1" si="37"/>
        <v>98.054619635563199</v>
      </c>
      <c r="P62" s="46">
        <f t="shared" ca="1" si="38"/>
        <v>94.579046224106293</v>
      </c>
      <c r="Q62" s="46">
        <f t="shared" ref="Q62:S62" ca="1" si="47">Q63+Q64</f>
        <v>0</v>
      </c>
      <c r="R62" s="46">
        <f t="shared" ca="1" si="47"/>
        <v>0</v>
      </c>
      <c r="S62" s="46">
        <f t="shared" ca="1" si="47"/>
        <v>0</v>
      </c>
      <c r="T62" s="46">
        <f t="shared" ca="1" si="40"/>
        <v>0</v>
      </c>
      <c r="U62" s="46">
        <f t="shared" ca="1" si="41"/>
        <v>0</v>
      </c>
    </row>
    <row r="63" spans="1:21" ht="18.75" hidden="1" x14ac:dyDescent="0.25">
      <c r="A63" s="39"/>
      <c r="B63" s="40"/>
      <c r="C63" s="40"/>
      <c r="D63" s="40"/>
      <c r="E63" s="47" t="s">
        <v>20</v>
      </c>
      <c r="F63" s="40"/>
      <c r="G63" s="42"/>
      <c r="H63" s="43" t="s">
        <v>14</v>
      </c>
      <c r="I63" s="44"/>
      <c r="J63" s="44"/>
      <c r="K63" s="45"/>
      <c r="L63" s="46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3" s="46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3" s="46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3" s="46">
        <f t="shared" ca="1" si="37"/>
        <v>0</v>
      </c>
      <c r="P63" s="46">
        <f t="shared" ca="1" si="38"/>
        <v>0</v>
      </c>
      <c r="Q63" s="48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3" s="48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3" s="48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3" s="48">
        <f t="shared" ca="1" si="40"/>
        <v>0</v>
      </c>
      <c r="U63" s="48">
        <f t="shared" ca="1" si="41"/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12902100)</f>
        <v>12902100</v>
      </c>
      <c r="M64" s="46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13376224)</f>
        <v>13376224</v>
      </c>
      <c r="N64" s="46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12651105.08)</f>
        <v>12651105.08</v>
      </c>
      <c r="O64" s="46">
        <f t="shared" ca="1" si="37"/>
        <v>98.054619635563199</v>
      </c>
      <c r="P64" s="46">
        <f t="shared" ca="1" si="38"/>
        <v>94.579046224106293</v>
      </c>
      <c r="Q64" s="46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4" s="46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4" s="46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4" s="46">
        <f t="shared" ca="1" si="40"/>
        <v>0</v>
      </c>
      <c r="U64" s="46">
        <f t="shared" ca="1" si="41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">
        <f t="shared" ref="L65:N65" ca="1" si="48">L66+L67</f>
        <v>28026600</v>
      </c>
      <c r="M65" s="46">
        <f t="shared" ca="1" si="48"/>
        <v>28253063.23</v>
      </c>
      <c r="N65" s="46">
        <f t="shared" ca="1" si="48"/>
        <v>13114003.52</v>
      </c>
      <c r="O65" s="46">
        <f t="shared" ca="1" si="37"/>
        <v>46.791275145754391</v>
      </c>
      <c r="P65" s="46">
        <f t="shared" ca="1" si="38"/>
        <v>46.416218352122378</v>
      </c>
      <c r="Q65" s="46">
        <f t="shared" ref="Q65:S65" ca="1" si="49">Q66+Q67</f>
        <v>0</v>
      </c>
      <c r="R65" s="46">
        <f t="shared" ca="1" si="49"/>
        <v>0</v>
      </c>
      <c r="S65" s="46">
        <f t="shared" ca="1" si="49"/>
        <v>0</v>
      </c>
      <c r="T65" s="46">
        <f t="shared" ca="1" si="40"/>
        <v>0</v>
      </c>
      <c r="U65" s="46">
        <f t="shared" ca="1" si="41"/>
        <v>0</v>
      </c>
    </row>
    <row r="66" spans="1:21" ht="18.75" hidden="1" x14ac:dyDescent="0.25">
      <c r="A66" s="39"/>
      <c r="B66" s="40"/>
      <c r="C66" s="40"/>
      <c r="D66" s="40"/>
      <c r="E66" s="47" t="s">
        <v>20</v>
      </c>
      <c r="F66" s="40"/>
      <c r="G66" s="42"/>
      <c r="H66" s="43" t="s">
        <v>14</v>
      </c>
      <c r="I66" s="44"/>
      <c r="J66" s="44"/>
      <c r="K66" s="45"/>
      <c r="L66" s="46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6" s="46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6" s="46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6" s="46">
        <f t="shared" ca="1" si="37"/>
        <v>0</v>
      </c>
      <c r="P66" s="46">
        <f t="shared" ca="1" si="38"/>
        <v>0</v>
      </c>
      <c r="Q66" s="48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6" s="48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6" s="48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6" s="48">
        <f t="shared" ca="1" si="40"/>
        <v>0</v>
      </c>
      <c r="U66" s="48">
        <f t="shared" ca="1" si="41"/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11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28026600)</f>
        <v>28026600</v>
      </c>
      <c r="M67" s="111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28253063.23)</f>
        <v>28253063.23</v>
      </c>
      <c r="N67" s="111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13114003.52)</f>
        <v>13114003.52</v>
      </c>
      <c r="O67" s="111">
        <f t="shared" ca="1" si="37"/>
        <v>46.791275145754391</v>
      </c>
      <c r="P67" s="111">
        <f t="shared" ca="1" si="38"/>
        <v>46.416218352122378</v>
      </c>
      <c r="Q67" s="111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7" s="111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7" s="111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27">
        <f t="shared" ref="I70:J70" ca="1" si="50">I82</f>
        <v>16</v>
      </c>
      <c r="J70" s="127">
        <f t="shared" ca="1" si="50"/>
        <v>16</v>
      </c>
      <c r="K70" s="34">
        <f t="shared" ref="K70:K71" ca="1" si="51">IF(I70&gt;0,J70*100/I70,0)</f>
        <v>100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27">
        <f t="shared" ref="I71:J71" ca="1" si="52">I83</f>
        <v>791</v>
      </c>
      <c r="J71" s="127">
        <f t="shared" ca="1" si="52"/>
        <v>791</v>
      </c>
      <c r="K71" s="34">
        <f t="shared" ca="1" si="51"/>
        <v>100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0" t="s">
        <v>19</v>
      </c>
      <c r="E72" s="40"/>
      <c r="F72" s="40"/>
      <c r="G72" s="42"/>
      <c r="H72" s="131" t="s">
        <v>14</v>
      </c>
      <c r="I72" s="44"/>
      <c r="J72" s="44"/>
      <c r="K72" s="45"/>
      <c r="L72" s="132">
        <f t="shared" ref="L72:N72" ca="1" si="53">L73+L74</f>
        <v>3388000</v>
      </c>
      <c r="M72" s="132">
        <f t="shared" ca="1" si="53"/>
        <v>3468000</v>
      </c>
      <c r="N72" s="132">
        <f t="shared" ca="1" si="53"/>
        <v>3029034.56</v>
      </c>
      <c r="O72" s="132">
        <f t="shared" ref="O72:O80" ca="1" si="54">IF(L72&gt;0,N72*100/L72,0)</f>
        <v>89.404798110979925</v>
      </c>
      <c r="P72" s="132">
        <f t="shared" ref="P72:P80" ca="1" si="55">IF(M72&gt;0,N72*100/M72,0)</f>
        <v>87.342403690888119</v>
      </c>
      <c r="Q72" s="132">
        <f t="shared" ref="Q72:S72" ca="1" si="56">Q73+Q74</f>
        <v>9235733</v>
      </c>
      <c r="R72" s="132">
        <f t="shared" ca="1" si="56"/>
        <v>9240413</v>
      </c>
      <c r="S72" s="132">
        <f t="shared" ca="1" si="56"/>
        <v>4980035.5</v>
      </c>
      <c r="T72" s="132">
        <f t="shared" ref="T72:T80" ca="1" si="57">IF(Q72&gt;0,S72*100/Q72,0)</f>
        <v>53.921388805847897</v>
      </c>
      <c r="U72" s="132">
        <f t="shared" ref="U72:U80" ca="1" si="58">IF(R72&gt;0,S72*100/R72,0)</f>
        <v>53.89407919321355</v>
      </c>
    </row>
    <row r="73" spans="1:21" ht="18.75" hidden="1" x14ac:dyDescent="0.25">
      <c r="A73" s="128"/>
      <c r="B73" s="40"/>
      <c r="C73" s="40"/>
      <c r="D73" s="40"/>
      <c r="E73" s="47" t="s">
        <v>20</v>
      </c>
      <c r="F73" s="40"/>
      <c r="G73" s="42"/>
      <c r="H73" s="133" t="s">
        <v>14</v>
      </c>
      <c r="I73" s="44"/>
      <c r="J73" s="44"/>
      <c r="K73" s="45"/>
      <c r="L73" s="46">
        <f t="shared" ref="L73:N73" ca="1" si="59">L76+L79</f>
        <v>0</v>
      </c>
      <c r="M73" s="46">
        <f t="shared" ca="1" si="59"/>
        <v>0</v>
      </c>
      <c r="N73" s="46">
        <f t="shared" ca="1" si="59"/>
        <v>0</v>
      </c>
      <c r="O73" s="46">
        <f t="shared" ca="1" si="54"/>
        <v>0</v>
      </c>
      <c r="P73" s="46">
        <f t="shared" ca="1" si="55"/>
        <v>0</v>
      </c>
      <c r="Q73" s="48">
        <f t="shared" ref="Q73:S73" ca="1" si="60">Q76+Q79</f>
        <v>0</v>
      </c>
      <c r="R73" s="48">
        <f t="shared" ca="1" si="60"/>
        <v>0</v>
      </c>
      <c r="S73" s="48">
        <f t="shared" ca="1" si="60"/>
        <v>0</v>
      </c>
      <c r="T73" s="48">
        <f t="shared" ca="1" si="57"/>
        <v>0</v>
      </c>
      <c r="U73" s="48">
        <f t="shared" ca="1" si="58"/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">
        <f t="shared" ref="L74:N74" ca="1" si="61">L77+L80</f>
        <v>3388000</v>
      </c>
      <c r="M74" s="46">
        <f t="shared" ca="1" si="61"/>
        <v>3468000</v>
      </c>
      <c r="N74" s="46">
        <f t="shared" ca="1" si="61"/>
        <v>3029034.56</v>
      </c>
      <c r="O74" s="46">
        <f t="shared" ca="1" si="54"/>
        <v>89.404798110979925</v>
      </c>
      <c r="P74" s="46">
        <f t="shared" ca="1" si="55"/>
        <v>87.342403690888119</v>
      </c>
      <c r="Q74" s="46">
        <f t="shared" ref="Q74:S74" ca="1" si="62">Q77+Q80</f>
        <v>9235733</v>
      </c>
      <c r="R74" s="46">
        <f t="shared" ca="1" si="62"/>
        <v>9240413</v>
      </c>
      <c r="S74" s="46">
        <f t="shared" ca="1" si="62"/>
        <v>4980035.5</v>
      </c>
      <c r="T74" s="46">
        <f t="shared" ca="1" si="57"/>
        <v>53.921388805847897</v>
      </c>
      <c r="U74" s="46">
        <f t="shared" ca="1" si="58"/>
        <v>53.89407919321355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">
        <f t="shared" ref="L75:N75" ca="1" si="63">L76+L77</f>
        <v>3388000</v>
      </c>
      <c r="M75" s="46">
        <f t="shared" ca="1" si="63"/>
        <v>3468000</v>
      </c>
      <c r="N75" s="46">
        <f t="shared" ca="1" si="63"/>
        <v>3029034.56</v>
      </c>
      <c r="O75" s="46">
        <f t="shared" ca="1" si="54"/>
        <v>89.404798110979925</v>
      </c>
      <c r="P75" s="46">
        <f t="shared" ca="1" si="55"/>
        <v>87.342403690888119</v>
      </c>
      <c r="Q75" s="46">
        <f t="shared" ref="Q75:S75" ca="1" si="64">Q76+Q77</f>
        <v>8103210</v>
      </c>
      <c r="R75" s="46">
        <f t="shared" ca="1" si="64"/>
        <v>8107890</v>
      </c>
      <c r="S75" s="46">
        <f t="shared" ca="1" si="64"/>
        <v>4672512.5</v>
      </c>
      <c r="T75" s="46">
        <f t="shared" ca="1" si="57"/>
        <v>57.662488075713206</v>
      </c>
      <c r="U75" s="46">
        <f t="shared" ca="1" si="58"/>
        <v>57.629204392264818</v>
      </c>
    </row>
    <row r="76" spans="1:21" ht="18.75" hidden="1" x14ac:dyDescent="0.25">
      <c r="A76" s="128"/>
      <c r="B76" s="40"/>
      <c r="C76" s="40"/>
      <c r="D76" s="40"/>
      <c r="E76" s="47" t="s">
        <v>36</v>
      </c>
      <c r="F76" s="40"/>
      <c r="G76" s="42"/>
      <c r="H76" s="134" t="s">
        <v>14</v>
      </c>
      <c r="I76" s="135"/>
      <c r="J76" s="135"/>
      <c r="K76" s="136"/>
      <c r="L76" s="46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6" s="46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6" s="46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6" s="46">
        <f t="shared" ca="1" si="54"/>
        <v>0</v>
      </c>
      <c r="P76" s="46">
        <f t="shared" ca="1" si="55"/>
        <v>0</v>
      </c>
      <c r="Q76" s="48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6" s="48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6" s="48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6" s="48">
        <f t="shared" ca="1" si="57"/>
        <v>0</v>
      </c>
      <c r="U76" s="48">
        <f t="shared" ca="1" si="58"/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3388000)</f>
        <v>3388000</v>
      </c>
      <c r="M77" s="46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3468000)</f>
        <v>3468000</v>
      </c>
      <c r="N77" s="46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3029034.56)</f>
        <v>3029034.56</v>
      </c>
      <c r="O77" s="46">
        <f t="shared" ca="1" si="54"/>
        <v>89.404798110979925</v>
      </c>
      <c r="P77" s="46">
        <f t="shared" ca="1" si="55"/>
        <v>87.342403690888119</v>
      </c>
      <c r="Q77" s="46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8103210)</f>
        <v>8103210</v>
      </c>
      <c r="R77" s="46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8107890)</f>
        <v>8107890</v>
      </c>
      <c r="S77" s="46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4672512.5)</f>
        <v>4672512.5</v>
      </c>
      <c r="T77" s="46">
        <f t="shared" ca="1" si="57"/>
        <v>57.662488075713206</v>
      </c>
      <c r="U77" s="46">
        <f t="shared" ca="1" si="58"/>
        <v>57.629204392264818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">
        <f t="shared" ref="L78:N78" ca="1" si="65">L79+L80</f>
        <v>0</v>
      </c>
      <c r="M78" s="46">
        <f t="shared" ca="1" si="65"/>
        <v>0</v>
      </c>
      <c r="N78" s="46">
        <f t="shared" ca="1" si="65"/>
        <v>0</v>
      </c>
      <c r="O78" s="46">
        <f t="shared" ca="1" si="54"/>
        <v>0</v>
      </c>
      <c r="P78" s="46">
        <f t="shared" ca="1" si="55"/>
        <v>0</v>
      </c>
      <c r="Q78" s="46">
        <f t="shared" ref="Q78:S78" ca="1" si="66">Q79+Q80</f>
        <v>1132523</v>
      </c>
      <c r="R78" s="46">
        <f t="shared" ca="1" si="66"/>
        <v>1132523</v>
      </c>
      <c r="S78" s="46">
        <f t="shared" ca="1" si="66"/>
        <v>307523</v>
      </c>
      <c r="T78" s="46">
        <f t="shared" ca="1" si="57"/>
        <v>27.153797318023564</v>
      </c>
      <c r="U78" s="46">
        <f t="shared" ca="1" si="58"/>
        <v>27.153797318023564</v>
      </c>
    </row>
    <row r="79" spans="1:21" ht="18.75" hidden="1" x14ac:dyDescent="0.25">
      <c r="A79" s="128"/>
      <c r="B79" s="40"/>
      <c r="C79" s="40"/>
      <c r="D79" s="40"/>
      <c r="E79" s="47" t="s">
        <v>20</v>
      </c>
      <c r="F79" s="40"/>
      <c r="G79" s="42"/>
      <c r="H79" s="134" t="s">
        <v>14</v>
      </c>
      <c r="I79" s="135"/>
      <c r="J79" s="135"/>
      <c r="K79" s="136"/>
      <c r="L79" s="46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79" s="46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79" s="46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79" s="46">
        <f t="shared" ca="1" si="54"/>
        <v>0</v>
      </c>
      <c r="P79" s="46">
        <f t="shared" ca="1" si="55"/>
        <v>0</v>
      </c>
      <c r="Q79" s="48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79" s="48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79" s="48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79" s="48">
        <f t="shared" ca="1" si="57"/>
        <v>0</v>
      </c>
      <c r="U79" s="48">
        <f t="shared" ca="1" si="58"/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0" s="46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0" s="46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0" s="46">
        <f t="shared" ca="1" si="54"/>
        <v>0</v>
      </c>
      <c r="P80" s="46">
        <f t="shared" ca="1" si="55"/>
        <v>0</v>
      </c>
      <c r="Q80" s="46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1132523)</f>
        <v>1132523</v>
      </c>
      <c r="R80" s="46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1132523)</f>
        <v>1132523</v>
      </c>
      <c r="S80" s="46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307523)</f>
        <v>307523</v>
      </c>
      <c r="T80" s="46">
        <f t="shared" ca="1" si="57"/>
        <v>27.153797318023564</v>
      </c>
      <c r="U80" s="46">
        <f t="shared" ca="1" si="58"/>
        <v>27.153797318023564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16</v>
      </c>
      <c r="J82" s="147">
        <f t="shared" ca="1" si="67"/>
        <v>16</v>
      </c>
      <c r="K82" s="148">
        <f t="shared" ref="K82:K90" ca="1" si="68">IF(I82&gt;0,J82*100/I82,0)</f>
        <v>100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791</v>
      </c>
      <c r="J83" s="147">
        <f t="shared" ca="1" si="69"/>
        <v>791</v>
      </c>
      <c r="K83" s="148">
        <f t="shared" ca="1" si="68"/>
        <v>100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4" s="151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8)</f>
        <v>8</v>
      </c>
      <c r="K84" s="152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5" s="151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466)</f>
        <v>466</v>
      </c>
      <c r="K85" s="152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6" s="151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4)</f>
        <v>4</v>
      </c>
      <c r="K86" s="152">
        <f t="shared" ca="1" si="68"/>
        <v>100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168)</f>
        <v>168</v>
      </c>
      <c r="J87" s="151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168)</f>
        <v>168</v>
      </c>
      <c r="K87" s="152">
        <f t="shared" ca="1" si="68"/>
        <v>100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8" s="151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4)</f>
        <v>4</v>
      </c>
      <c r="K88" s="152">
        <f t="shared" ca="1" si="68"/>
        <v>100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89" s="151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157)</f>
        <v>157</v>
      </c>
      <c r="K89" s="152">
        <f t="shared" ca="1" si="68"/>
        <v>100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51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0" s="151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15)</f>
        <v>15</v>
      </c>
      <c r="K90" s="152">
        <f t="shared" ca="1" si="68"/>
        <v>93.75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4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55" t="s">
        <v>46</v>
      </c>
      <c r="I92" s="127">
        <f t="shared" ref="I92:J92" ca="1" si="70">I108</f>
        <v>390</v>
      </c>
      <c r="J92" s="127">
        <f t="shared" ca="1" si="70"/>
        <v>390</v>
      </c>
      <c r="K92" s="34">
        <f t="shared" ref="K92:K93" ca="1" si="71">IF(I92&gt;0,J92*100/I92,0)</f>
        <v>100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55" t="s">
        <v>35</v>
      </c>
      <c r="I93" s="127">
        <f t="shared" ref="I93:J93" ca="1" si="72">I109</f>
        <v>130</v>
      </c>
      <c r="J93" s="127">
        <f t="shared" ca="1" si="72"/>
        <v>130</v>
      </c>
      <c r="K93" s="34">
        <f t="shared" ca="1" si="71"/>
        <v>100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0" t="s">
        <v>19</v>
      </c>
      <c r="E94" s="40"/>
      <c r="F94" s="40"/>
      <c r="G94" s="42"/>
      <c r="H94" s="131" t="s">
        <v>14</v>
      </c>
      <c r="I94" s="44"/>
      <c r="J94" s="44"/>
      <c r="K94" s="45"/>
      <c r="L94" s="132">
        <f t="shared" ref="L94:N94" ca="1" si="73">L95+L96</f>
        <v>295000</v>
      </c>
      <c r="M94" s="132">
        <f t="shared" ca="1" si="73"/>
        <v>295000</v>
      </c>
      <c r="N94" s="132">
        <f t="shared" ca="1" si="73"/>
        <v>293501.53999999998</v>
      </c>
      <c r="O94" s="132">
        <f t="shared" ref="O94:O102" ca="1" si="74">IF(L94&gt;0,N94*100/L94,0)</f>
        <v>99.492047457627109</v>
      </c>
      <c r="P94" s="132">
        <f t="shared" ref="P94:P102" ca="1" si="75">IF(M94&gt;0,N94*100/M94,0)</f>
        <v>99.492047457627109</v>
      </c>
      <c r="Q94" s="132">
        <f t="shared" ref="Q94:S94" ca="1" si="76">Q95+Q96</f>
        <v>942780</v>
      </c>
      <c r="R94" s="132">
        <f t="shared" ca="1" si="76"/>
        <v>849732.5</v>
      </c>
      <c r="S94" s="132">
        <f t="shared" ca="1" si="76"/>
        <v>498854.5</v>
      </c>
      <c r="T94" s="132">
        <f t="shared" ref="T94:T102" ca="1" si="77">IF(Q94&gt;0,S94*100/Q94,0)</f>
        <v>52.913139862958488</v>
      </c>
      <c r="U94" s="132">
        <f t="shared" ref="U94:U102" ca="1" si="78">IF(R94&gt;0,S94*100/R94,0)</f>
        <v>58.707240219716205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8">
        <f t="shared" ref="L95:N95" ca="1" si="79">L98+L101</f>
        <v>0</v>
      </c>
      <c r="M95" s="48">
        <f t="shared" ca="1" si="79"/>
        <v>0</v>
      </c>
      <c r="N95" s="48">
        <f t="shared" ca="1" si="79"/>
        <v>0</v>
      </c>
      <c r="O95" s="48">
        <f t="shared" ca="1" si="74"/>
        <v>0</v>
      </c>
      <c r="P95" s="48">
        <f t="shared" ca="1" si="75"/>
        <v>0</v>
      </c>
      <c r="Q95" s="48">
        <f t="shared" ref="Q95:S95" ca="1" si="80">Q98+Q101</f>
        <v>0</v>
      </c>
      <c r="R95" s="48">
        <f t="shared" ca="1" si="80"/>
        <v>0</v>
      </c>
      <c r="S95" s="48">
        <f t="shared" ca="1" si="80"/>
        <v>0</v>
      </c>
      <c r="T95" s="48">
        <f t="shared" ca="1" si="77"/>
        <v>0</v>
      </c>
      <c r="U95" s="48">
        <f t="shared" ca="1" si="78"/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">
        <f t="shared" ref="L96:N96" ca="1" si="81">L99+L102</f>
        <v>295000</v>
      </c>
      <c r="M96" s="46">
        <f t="shared" ca="1" si="81"/>
        <v>295000</v>
      </c>
      <c r="N96" s="46">
        <f t="shared" ca="1" si="81"/>
        <v>293501.53999999998</v>
      </c>
      <c r="O96" s="46">
        <f t="shared" ca="1" si="74"/>
        <v>99.492047457627109</v>
      </c>
      <c r="P96" s="46">
        <f t="shared" ca="1" si="75"/>
        <v>99.492047457627109</v>
      </c>
      <c r="Q96" s="46">
        <f t="shared" ref="Q96:S96" ca="1" si="82">Q99+Q102</f>
        <v>942780</v>
      </c>
      <c r="R96" s="46">
        <f t="shared" ca="1" si="82"/>
        <v>849732.5</v>
      </c>
      <c r="S96" s="46">
        <f t="shared" ca="1" si="82"/>
        <v>498854.5</v>
      </c>
      <c r="T96" s="46">
        <f t="shared" ca="1" si="77"/>
        <v>52.913139862958488</v>
      </c>
      <c r="U96" s="46">
        <f t="shared" ca="1" si="78"/>
        <v>58.707240219716205</v>
      </c>
    </row>
    <row r="97" spans="1:21" ht="18.75" x14ac:dyDescent="0.25">
      <c r="A97" s="128"/>
      <c r="B97" s="158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">
        <f t="shared" ref="L97:N97" ca="1" si="83">L98+L99</f>
        <v>295000</v>
      </c>
      <c r="M97" s="46">
        <f t="shared" ca="1" si="83"/>
        <v>295000</v>
      </c>
      <c r="N97" s="46">
        <f t="shared" ca="1" si="83"/>
        <v>293501.53999999998</v>
      </c>
      <c r="O97" s="46">
        <f t="shared" ca="1" si="74"/>
        <v>99.492047457627109</v>
      </c>
      <c r="P97" s="46">
        <f t="shared" ca="1" si="75"/>
        <v>99.492047457627109</v>
      </c>
      <c r="Q97" s="46">
        <f t="shared" ref="Q97:S97" ca="1" si="84">Q98+Q99</f>
        <v>942780</v>
      </c>
      <c r="R97" s="46">
        <f t="shared" ca="1" si="84"/>
        <v>849732.5</v>
      </c>
      <c r="S97" s="46">
        <f t="shared" ca="1" si="84"/>
        <v>498854.5</v>
      </c>
      <c r="T97" s="46">
        <f t="shared" ca="1" si="77"/>
        <v>52.913139862958488</v>
      </c>
      <c r="U97" s="46">
        <f t="shared" ca="1" si="78"/>
        <v>58.707240219716205</v>
      </c>
    </row>
    <row r="98" spans="1:21" ht="18.75" hidden="1" x14ac:dyDescent="0.25">
      <c r="A98" s="128"/>
      <c r="B98" s="158"/>
      <c r="C98" s="158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8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8" s="48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8" s="48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8" s="48">
        <f t="shared" ca="1" si="74"/>
        <v>0</v>
      </c>
      <c r="P98" s="48">
        <f t="shared" ca="1" si="75"/>
        <v>0</v>
      </c>
      <c r="Q98" s="48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8" s="48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8" s="48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8" s="48">
        <f t="shared" ca="1" si="77"/>
        <v>0</v>
      </c>
      <c r="U98" s="48">
        <f t="shared" ca="1" si="78"/>
        <v>0</v>
      </c>
    </row>
    <row r="99" spans="1:21" ht="18.75" hidden="1" x14ac:dyDescent="0.25">
      <c r="A99" s="128"/>
      <c r="B99" s="158"/>
      <c r="C99" s="158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295000)</f>
        <v>295000</v>
      </c>
      <c r="M99" s="46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295000)</f>
        <v>295000</v>
      </c>
      <c r="N99" s="46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293501.54)</f>
        <v>293501.53999999998</v>
      </c>
      <c r="O99" s="46">
        <f t="shared" ca="1" si="74"/>
        <v>99.492047457627109</v>
      </c>
      <c r="P99" s="46">
        <f t="shared" ca="1" si="75"/>
        <v>99.492047457627109</v>
      </c>
      <c r="Q99" s="46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99" s="46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849732.5)</f>
        <v>849732.5</v>
      </c>
      <c r="S99" s="46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498854.5)</f>
        <v>498854.5</v>
      </c>
      <c r="T99" s="46">
        <f t="shared" ca="1" si="77"/>
        <v>52.913139862958488</v>
      </c>
      <c r="U99" s="46">
        <f t="shared" ca="1" si="78"/>
        <v>58.707240219716205</v>
      </c>
    </row>
    <row r="100" spans="1:21" ht="18.75" x14ac:dyDescent="0.25">
      <c r="A100" s="128"/>
      <c r="B100" s="158"/>
      <c r="C100" s="158"/>
      <c r="D100" s="160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">
        <f t="shared" ref="L100:N100" ca="1" si="85">L101+L102</f>
        <v>0</v>
      </c>
      <c r="M100" s="46">
        <f t="shared" ca="1" si="85"/>
        <v>0</v>
      </c>
      <c r="N100" s="46">
        <f t="shared" ca="1" si="85"/>
        <v>0</v>
      </c>
      <c r="O100" s="46">
        <f t="shared" ca="1" si="74"/>
        <v>0</v>
      </c>
      <c r="P100" s="46">
        <f t="shared" ca="1" si="75"/>
        <v>0</v>
      </c>
      <c r="Q100" s="46">
        <f t="shared" ref="Q100:S100" ca="1" si="86">Q101+Q102</f>
        <v>0</v>
      </c>
      <c r="R100" s="46">
        <f t="shared" ca="1" si="86"/>
        <v>0</v>
      </c>
      <c r="S100" s="46">
        <f t="shared" ca="1" si="86"/>
        <v>0</v>
      </c>
      <c r="T100" s="46">
        <f t="shared" ca="1" si="77"/>
        <v>0</v>
      </c>
      <c r="U100" s="46">
        <f t="shared" ca="1" si="78"/>
        <v>0</v>
      </c>
    </row>
    <row r="101" spans="1:21" ht="18.75" hidden="1" x14ac:dyDescent="0.25">
      <c r="A101" s="128"/>
      <c r="B101" s="158"/>
      <c r="C101" s="158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8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1" s="48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1" s="48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1" s="48">
        <f t="shared" ca="1" si="74"/>
        <v>0</v>
      </c>
      <c r="P101" s="48">
        <f t="shared" ca="1" si="75"/>
        <v>0</v>
      </c>
      <c r="Q101" s="48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1" s="48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1" s="48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1" s="48">
        <f t="shared" ca="1" si="77"/>
        <v>0</v>
      </c>
      <c r="U101" s="48">
        <f t="shared" ca="1" si="78"/>
        <v>0</v>
      </c>
    </row>
    <row r="102" spans="1:21" ht="18.75" hidden="1" x14ac:dyDescent="0.25">
      <c r="A102" s="128"/>
      <c r="B102" s="158"/>
      <c r="C102" s="158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2" s="46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2" s="46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2" s="46">
        <f t="shared" ca="1" si="74"/>
        <v>0</v>
      </c>
      <c r="P102" s="46">
        <f t="shared" ca="1" si="75"/>
        <v>0</v>
      </c>
      <c r="Q102" s="46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2" s="46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2" s="46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2" s="46">
        <f t="shared" ca="1" si="77"/>
        <v>0</v>
      </c>
      <c r="U102" s="46">
        <f t="shared" ca="1" si="78"/>
        <v>0</v>
      </c>
    </row>
    <row r="103" spans="1:21" ht="19.5" x14ac:dyDescent="0.3">
      <c r="A103" s="138"/>
      <c r="B103" s="139"/>
      <c r="C103" s="161" t="s">
        <v>18</v>
      </c>
      <c r="D103" s="140" t="s">
        <v>38</v>
      </c>
      <c r="E103" s="141"/>
      <c r="F103" s="141"/>
      <c r="G103" s="142"/>
      <c r="H103" s="143"/>
      <c r="I103" s="135"/>
      <c r="J103" s="44"/>
      <c r="K103" s="45"/>
      <c r="L103" s="4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66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8" s="167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390)</f>
        <v>390</v>
      </c>
      <c r="K108" s="46">
        <f t="shared" ref="K108:K109" ca="1" si="87">IF(I108&gt;0,J108*100/I108,0)</f>
        <v>100</v>
      </c>
      <c r="L108" s="4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66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09" s="167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130)</f>
        <v>130</v>
      </c>
      <c r="K109" s="46">
        <f t="shared" ca="1" si="87"/>
        <v>100</v>
      </c>
      <c r="L109" s="4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63"/>
      <c r="E112" s="18"/>
      <c r="F112" s="18"/>
      <c r="G112" s="19"/>
      <c r="H112" s="19"/>
      <c r="I112" s="20"/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8"/>
      <c r="B113" s="139"/>
      <c r="C113" s="139"/>
      <c r="D113" s="149" t="s">
        <v>50</v>
      </c>
      <c r="E113" s="145"/>
      <c r="F113" s="145"/>
      <c r="G113" s="143"/>
      <c r="H113" s="150" t="s">
        <v>46</v>
      </c>
      <c r="I113" s="151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3" s="167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390)</f>
        <v>390</v>
      </c>
      <c r="K113" s="46">
        <f t="shared" ref="K113:K114" ca="1" si="88">IF(I113&gt;0,J113*100/I113,0)</f>
        <v>100</v>
      </c>
      <c r="L113" s="45"/>
      <c r="M113" s="45"/>
      <c r="N113" s="45"/>
      <c r="O113" s="136"/>
      <c r="P113" s="136"/>
      <c r="Q113" s="45"/>
      <c r="R113" s="45"/>
      <c r="S113" s="45"/>
      <c r="T113" s="136"/>
      <c r="U113" s="136"/>
    </row>
    <row r="114" spans="1:21" ht="18.75" x14ac:dyDescent="0.25">
      <c r="A114" s="138"/>
      <c r="B114" s="139"/>
      <c r="C114" s="139"/>
      <c r="D114" s="149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4" s="167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130)</f>
        <v>130</v>
      </c>
      <c r="K114" s="46">
        <f t="shared" ca="1" si="88"/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18" t="s">
        <v>51</v>
      </c>
      <c r="B115" s="120"/>
      <c r="C115" s="168"/>
      <c r="D115" s="119"/>
      <c r="E115" s="119"/>
      <c r="F115" s="119"/>
      <c r="G115" s="119"/>
      <c r="H115" s="120"/>
      <c r="I115" s="169"/>
      <c r="J115" s="169"/>
      <c r="K115" s="170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27">
        <f t="shared" ref="I116:J116" ca="1" si="89">I127</f>
        <v>735</v>
      </c>
      <c r="J116" s="127">
        <f t="shared" ca="1" si="89"/>
        <v>735</v>
      </c>
      <c r="K116" s="34">
        <f ca="1">IF(I116&gt;0,J116*100/I116,0)</f>
        <v>100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2">
        <f t="shared" ref="L117:N117" ca="1" si="90">L118+L119</f>
        <v>0</v>
      </c>
      <c r="M117" s="132">
        <f t="shared" ca="1" si="90"/>
        <v>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6899960</v>
      </c>
      <c r="R117" s="132">
        <f t="shared" ca="1" si="93"/>
        <v>6899960</v>
      </c>
      <c r="S117" s="132">
        <f t="shared" ca="1" si="93"/>
        <v>3667435.31</v>
      </c>
      <c r="T117" s="132">
        <f t="shared" ref="T117:T125" ca="1" si="94">IF(Q117&gt;0,S117*100/Q117,0)</f>
        <v>53.151544501707257</v>
      </c>
      <c r="U117" s="132">
        <f t="shared" ref="U117:U125" ca="1" si="95">IF(R117&gt;0,S117*100/R117,0)</f>
        <v>53.151544501707257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8">
        <f t="shared" ref="L118:N118" ca="1" si="96">L121+L124</f>
        <v>0</v>
      </c>
      <c r="M118" s="48">
        <f t="shared" ca="1" si="96"/>
        <v>0</v>
      </c>
      <c r="N118" s="48">
        <f t="shared" ca="1" si="96"/>
        <v>0</v>
      </c>
      <c r="O118" s="48">
        <f t="shared" ca="1" si="91"/>
        <v>0</v>
      </c>
      <c r="P118" s="48">
        <f t="shared" ca="1" si="92"/>
        <v>0</v>
      </c>
      <c r="Q118" s="48">
        <f t="shared" ref="Q118:S118" ca="1" si="97">Q121+Q124</f>
        <v>0</v>
      </c>
      <c r="R118" s="48">
        <f t="shared" ca="1" si="97"/>
        <v>0</v>
      </c>
      <c r="S118" s="48">
        <f t="shared" ca="1" si="97"/>
        <v>0</v>
      </c>
      <c r="T118" s="48">
        <f t="shared" ca="1" si="94"/>
        <v>0</v>
      </c>
      <c r="U118" s="48">
        <f t="shared" ca="1" si="95"/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">
        <f t="shared" ref="L119:N119" ca="1" si="98">L122+L125</f>
        <v>0</v>
      </c>
      <c r="M119" s="46">
        <f t="shared" ca="1" si="98"/>
        <v>0</v>
      </c>
      <c r="N119" s="46">
        <f t="shared" ca="1" si="98"/>
        <v>0</v>
      </c>
      <c r="O119" s="46">
        <f t="shared" ca="1" si="91"/>
        <v>0</v>
      </c>
      <c r="P119" s="46">
        <f t="shared" ca="1" si="92"/>
        <v>0</v>
      </c>
      <c r="Q119" s="46">
        <f t="shared" ref="Q119:S119" ca="1" si="99">Q122+Q125</f>
        <v>6899960</v>
      </c>
      <c r="R119" s="46">
        <f t="shared" ca="1" si="99"/>
        <v>6899960</v>
      </c>
      <c r="S119" s="46">
        <f t="shared" ca="1" si="99"/>
        <v>3667435.31</v>
      </c>
      <c r="T119" s="46">
        <f t="shared" ca="1" si="94"/>
        <v>53.151544501707257</v>
      </c>
      <c r="U119" s="46">
        <f t="shared" ca="1" si="95"/>
        <v>53.151544501707257</v>
      </c>
    </row>
    <row r="120" spans="1:21" ht="18.75" x14ac:dyDescent="0.25">
      <c r="A120" s="128"/>
      <c r="B120" s="158"/>
      <c r="C120" s="174"/>
      <c r="D120" s="160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">
        <f t="shared" ref="L120:N120" ca="1" si="100">L121+L122</f>
        <v>0</v>
      </c>
      <c r="M120" s="46">
        <f t="shared" ca="1" si="100"/>
        <v>0</v>
      </c>
      <c r="N120" s="46">
        <f t="shared" ca="1" si="100"/>
        <v>0</v>
      </c>
      <c r="O120" s="46">
        <f t="shared" ca="1" si="91"/>
        <v>0</v>
      </c>
      <c r="P120" s="46">
        <f t="shared" ca="1" si="92"/>
        <v>0</v>
      </c>
      <c r="Q120" s="46">
        <f t="shared" ref="Q120:S120" ca="1" si="101">Q121+Q122</f>
        <v>4578960</v>
      </c>
      <c r="R120" s="46">
        <f t="shared" ca="1" si="101"/>
        <v>4578960</v>
      </c>
      <c r="S120" s="46">
        <f t="shared" ca="1" si="101"/>
        <v>3667435.31</v>
      </c>
      <c r="T120" s="46">
        <f t="shared" ca="1" si="94"/>
        <v>80.093193869350245</v>
      </c>
      <c r="U120" s="46">
        <f t="shared" ca="1" si="95"/>
        <v>80.093193869350245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8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1" s="48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1" s="48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1" s="48">
        <f t="shared" ca="1" si="91"/>
        <v>0</v>
      </c>
      <c r="P121" s="48">
        <f t="shared" ca="1" si="92"/>
        <v>0</v>
      </c>
      <c r="Q121" s="48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1" s="48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1" s="48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1" s="48">
        <f t="shared" ca="1" si="94"/>
        <v>0</v>
      </c>
      <c r="U121" s="48">
        <f t="shared" ca="1" si="95"/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2" s="46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2" s="46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2" s="46">
        <f t="shared" ca="1" si="91"/>
        <v>0</v>
      </c>
      <c r="P122" s="46">
        <f t="shared" ca="1" si="92"/>
        <v>0</v>
      </c>
      <c r="Q122" s="46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4578960)</f>
        <v>4578960</v>
      </c>
      <c r="R122" s="46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4578960)</f>
        <v>4578960</v>
      </c>
      <c r="S122" s="46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3667435.31)</f>
        <v>3667435.31</v>
      </c>
      <c r="T122" s="46">
        <f t="shared" ca="1" si="94"/>
        <v>80.093193869350245</v>
      </c>
      <c r="U122" s="46">
        <f t="shared" ca="1" si="95"/>
        <v>80.093193869350245</v>
      </c>
    </row>
    <row r="123" spans="1:21" ht="18.75" x14ac:dyDescent="0.25">
      <c r="A123" s="128"/>
      <c r="B123" s="40"/>
      <c r="C123" s="174"/>
      <c r="D123" s="160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">
        <f t="shared" ref="L123:N123" ca="1" si="102">L124+L125</f>
        <v>0</v>
      </c>
      <c r="M123" s="46">
        <f t="shared" ca="1" si="102"/>
        <v>0</v>
      </c>
      <c r="N123" s="46">
        <f t="shared" ca="1" si="102"/>
        <v>0</v>
      </c>
      <c r="O123" s="46">
        <f t="shared" ca="1" si="91"/>
        <v>0</v>
      </c>
      <c r="P123" s="46">
        <f t="shared" ca="1" si="92"/>
        <v>0</v>
      </c>
      <c r="Q123" s="46">
        <f t="shared" ref="Q123:S123" ca="1" si="103">Q124+Q125</f>
        <v>2321000</v>
      </c>
      <c r="R123" s="46">
        <f t="shared" ca="1" si="103"/>
        <v>2321000</v>
      </c>
      <c r="S123" s="46">
        <f t="shared" ca="1" si="103"/>
        <v>0</v>
      </c>
      <c r="T123" s="46">
        <f t="shared" ca="1" si="94"/>
        <v>0</v>
      </c>
      <c r="U123" s="46">
        <f t="shared" ca="1" si="95"/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8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4" s="48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4" s="48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4" s="48">
        <f t="shared" ca="1" si="91"/>
        <v>0</v>
      </c>
      <c r="P124" s="48">
        <f t="shared" ca="1" si="92"/>
        <v>0</v>
      </c>
      <c r="Q124" s="48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4" s="48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4" s="48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4" s="48">
        <f t="shared" ca="1" si="94"/>
        <v>0</v>
      </c>
      <c r="U124" s="48">
        <f t="shared" ca="1" si="95"/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5" s="46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5" s="46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5" s="46">
        <f t="shared" ca="1" si="91"/>
        <v>0</v>
      </c>
      <c r="P125" s="46">
        <f t="shared" ca="1" si="92"/>
        <v>0</v>
      </c>
      <c r="Q125" s="46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2321000)</f>
        <v>2321000</v>
      </c>
      <c r="R125" s="46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2321000)</f>
        <v>2321000</v>
      </c>
      <c r="S125" s="46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5" s="46">
        <f t="shared" ca="1" si="94"/>
        <v>0</v>
      </c>
      <c r="U125" s="46">
        <f t="shared" ca="1" si="95"/>
        <v>0</v>
      </c>
    </row>
    <row r="126" spans="1:21" ht="19.5" x14ac:dyDescent="0.3">
      <c r="A126" s="138"/>
      <c r="B126" s="139"/>
      <c r="C126" s="177" t="s">
        <v>18</v>
      </c>
      <c r="D126" s="140" t="s">
        <v>38</v>
      </c>
      <c r="E126" s="141"/>
      <c r="F126" s="141"/>
      <c r="G126" s="142"/>
      <c r="H126" s="178"/>
      <c r="I126" s="44"/>
      <c r="J126" s="44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66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7" s="167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735)</f>
        <v>735</v>
      </c>
      <c r="K127" s="46">
        <f t="shared" ref="K127:K130" ca="1" si="104">IF(I127&gt;0,J127*100/I127,0)</f>
        <v>100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66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31)</f>
        <v>31</v>
      </c>
      <c r="J128" s="167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31)</f>
        <v>31</v>
      </c>
      <c r="K128" s="46">
        <f t="shared" ca="1" si="104"/>
        <v>100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66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29" s="167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365)</f>
        <v>365</v>
      </c>
      <c r="K129" s="46">
        <f t="shared" ca="1" si="104"/>
        <v>100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66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21)</f>
        <v>21</v>
      </c>
      <c r="J130" s="167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21)</f>
        <v>21</v>
      </c>
      <c r="K130" s="46">
        <f t="shared" ca="1" si="104"/>
        <v>100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27">
        <f t="shared" ref="I136:J136" ca="1" si="105">I154</f>
        <v>15</v>
      </c>
      <c r="J136" s="127">
        <f t="shared" ca="1" si="105"/>
        <v>2</v>
      </c>
      <c r="K136" s="34">
        <f t="shared" ref="K136:K138" ca="1" si="106">IF(I136&gt;0,J136*100/I136,0)</f>
        <v>13.333333333333334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27">
        <f t="shared" ref="I137:J137" ca="1" si="107">I152</f>
        <v>400</v>
      </c>
      <c r="J137" s="127">
        <f t="shared" ca="1" si="107"/>
        <v>370</v>
      </c>
      <c r="K137" s="34">
        <f t="shared" ca="1" si="106"/>
        <v>92.5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27">
        <f t="shared" ref="I138:J138" ca="1" si="108">I153</f>
        <v>40</v>
      </c>
      <c r="J138" s="127">
        <f t="shared" ca="1" si="108"/>
        <v>40</v>
      </c>
      <c r="K138" s="34">
        <f t="shared" ca="1" si="106"/>
        <v>100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2">
        <f t="shared" ref="L139:N139" ca="1" si="109">L140+L141</f>
        <v>1202200</v>
      </c>
      <c r="M139" s="132">
        <f t="shared" ca="1" si="109"/>
        <v>1147200</v>
      </c>
      <c r="N139" s="132">
        <f t="shared" ca="1" si="109"/>
        <v>1031502.65</v>
      </c>
      <c r="O139" s="132">
        <f t="shared" ref="O139:O147" ca="1" si="110">IF(L139&gt;0,N139*100/L139,0)</f>
        <v>85.801251871568795</v>
      </c>
      <c r="P139" s="132">
        <f t="shared" ref="P139:P147" ca="1" si="111">IF(M139&gt;0,N139*100/M139,0)</f>
        <v>89.914805613668065</v>
      </c>
      <c r="Q139" s="132">
        <f t="shared" ref="Q139:S139" ca="1" si="112">Q140+Q141</f>
        <v>2451300</v>
      </c>
      <c r="R139" s="132">
        <f t="shared" ca="1" si="112"/>
        <v>2451300</v>
      </c>
      <c r="S139" s="132">
        <f t="shared" ca="1" si="112"/>
        <v>248331</v>
      </c>
      <c r="T139" s="132">
        <f t="shared" ref="T139:T147" ca="1" si="113">IF(Q139&gt;0,S139*100/Q139,0)</f>
        <v>10.130583771876147</v>
      </c>
      <c r="U139" s="132">
        <f t="shared" ref="U139:U147" ca="1" si="114">IF(R139&gt;0,S139*100/R139,0)</f>
        <v>10.130583771876147</v>
      </c>
    </row>
    <row r="140" spans="1:21" ht="18.75" hidden="1" x14ac:dyDescent="0.25">
      <c r="A140" s="128"/>
      <c r="B140" s="40"/>
      <c r="C140" s="40"/>
      <c r="D140" s="40"/>
      <c r="E140" s="47" t="s">
        <v>20</v>
      </c>
      <c r="F140" s="40"/>
      <c r="G140" s="42"/>
      <c r="H140" s="133" t="s">
        <v>14</v>
      </c>
      <c r="I140" s="44"/>
      <c r="J140" s="44"/>
      <c r="K140" s="45"/>
      <c r="L140" s="46">
        <f t="shared" ref="L140:N140" ca="1" si="115">L143+L146</f>
        <v>0</v>
      </c>
      <c r="M140" s="46">
        <f t="shared" ca="1" si="115"/>
        <v>0</v>
      </c>
      <c r="N140" s="46">
        <f t="shared" ca="1" si="115"/>
        <v>0</v>
      </c>
      <c r="O140" s="46">
        <f t="shared" ca="1" si="110"/>
        <v>0</v>
      </c>
      <c r="P140" s="46">
        <f t="shared" ca="1" si="111"/>
        <v>0</v>
      </c>
      <c r="Q140" s="48">
        <f t="shared" ref="Q140:S140" ca="1" si="116">Q143+Q146</f>
        <v>0</v>
      </c>
      <c r="R140" s="48">
        <f t="shared" ca="1" si="116"/>
        <v>0</v>
      </c>
      <c r="S140" s="48">
        <f t="shared" ca="1" si="116"/>
        <v>0</v>
      </c>
      <c r="T140" s="48">
        <f t="shared" ca="1" si="113"/>
        <v>0</v>
      </c>
      <c r="U140" s="48">
        <f t="shared" ca="1" si="114"/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">
        <f t="shared" ref="L141:N141" ca="1" si="117">L144+L147</f>
        <v>1202200</v>
      </c>
      <c r="M141" s="46">
        <f t="shared" ca="1" si="117"/>
        <v>1147200</v>
      </c>
      <c r="N141" s="46">
        <f t="shared" ca="1" si="117"/>
        <v>1031502.65</v>
      </c>
      <c r="O141" s="46">
        <f t="shared" ca="1" si="110"/>
        <v>85.801251871568795</v>
      </c>
      <c r="P141" s="46">
        <f t="shared" ca="1" si="111"/>
        <v>89.914805613668065</v>
      </c>
      <c r="Q141" s="46">
        <f t="shared" ref="Q141:S141" ca="1" si="118">Q144+Q147</f>
        <v>2451300</v>
      </c>
      <c r="R141" s="46">
        <f t="shared" ca="1" si="118"/>
        <v>2451300</v>
      </c>
      <c r="S141" s="46">
        <f t="shared" ca="1" si="118"/>
        <v>248331</v>
      </c>
      <c r="T141" s="46">
        <f t="shared" ca="1" si="113"/>
        <v>10.130583771876147</v>
      </c>
      <c r="U141" s="46">
        <f t="shared" ca="1" si="114"/>
        <v>10.130583771876147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">
        <f t="shared" ref="L142:N142" ca="1" si="119">L143+L144</f>
        <v>1202200</v>
      </c>
      <c r="M142" s="46">
        <f t="shared" ca="1" si="119"/>
        <v>1147200</v>
      </c>
      <c r="N142" s="46">
        <f t="shared" ca="1" si="119"/>
        <v>1031502.65</v>
      </c>
      <c r="O142" s="46">
        <f t="shared" ca="1" si="110"/>
        <v>85.801251871568795</v>
      </c>
      <c r="P142" s="46">
        <f t="shared" ca="1" si="111"/>
        <v>89.914805613668065</v>
      </c>
      <c r="Q142" s="46">
        <f t="shared" ref="Q142:S142" ca="1" si="120">Q143+Q144</f>
        <v>501300</v>
      </c>
      <c r="R142" s="46">
        <f t="shared" ca="1" si="120"/>
        <v>501300</v>
      </c>
      <c r="S142" s="46">
        <f t="shared" ca="1" si="120"/>
        <v>248331</v>
      </c>
      <c r="T142" s="46">
        <f t="shared" ca="1" si="113"/>
        <v>49.53740275284261</v>
      </c>
      <c r="U142" s="46">
        <f t="shared" ca="1" si="114"/>
        <v>49.53740275284261</v>
      </c>
    </row>
    <row r="143" spans="1:21" ht="18.75" hidden="1" x14ac:dyDescent="0.25">
      <c r="A143" s="128"/>
      <c r="B143" s="40"/>
      <c r="C143" s="40"/>
      <c r="D143" s="40"/>
      <c r="E143" s="47" t="s">
        <v>36</v>
      </c>
      <c r="F143" s="40"/>
      <c r="G143" s="42"/>
      <c r="H143" s="134" t="s">
        <v>14</v>
      </c>
      <c r="I143" s="135"/>
      <c r="J143" s="135"/>
      <c r="K143" s="136"/>
      <c r="L143" s="46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3" s="46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3" s="46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3" s="46">
        <f t="shared" ca="1" si="110"/>
        <v>0</v>
      </c>
      <c r="P143" s="46">
        <f t="shared" ca="1" si="111"/>
        <v>0</v>
      </c>
      <c r="Q143" s="48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3" s="48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3" s="48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3" s="48">
        <f t="shared" ca="1" si="113"/>
        <v>0</v>
      </c>
      <c r="U143" s="48">
        <f t="shared" ca="1" si="114"/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4" s="46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4" s="46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1031502.65)</f>
        <v>1031502.65</v>
      </c>
      <c r="O144" s="46">
        <f t="shared" ca="1" si="110"/>
        <v>85.801251871568795</v>
      </c>
      <c r="P144" s="46">
        <f t="shared" ca="1" si="111"/>
        <v>89.914805613668065</v>
      </c>
      <c r="Q144" s="46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501300)</f>
        <v>501300</v>
      </c>
      <c r="R144" s="46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501300)</f>
        <v>501300</v>
      </c>
      <c r="S144" s="46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248331)</f>
        <v>248331</v>
      </c>
      <c r="T144" s="46">
        <f t="shared" ca="1" si="113"/>
        <v>49.53740275284261</v>
      </c>
      <c r="U144" s="46">
        <f t="shared" ca="1" si="114"/>
        <v>49.53740275284261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">
        <f t="shared" ref="L145:N145" ca="1" si="121">L146+L147</f>
        <v>0</v>
      </c>
      <c r="M145" s="46">
        <f t="shared" ca="1" si="121"/>
        <v>0</v>
      </c>
      <c r="N145" s="46">
        <f t="shared" ca="1" si="121"/>
        <v>0</v>
      </c>
      <c r="O145" s="46">
        <f t="shared" ca="1" si="110"/>
        <v>0</v>
      </c>
      <c r="P145" s="46">
        <f t="shared" ca="1" si="111"/>
        <v>0</v>
      </c>
      <c r="Q145" s="46">
        <f t="shared" ref="Q145:S145" ca="1" si="122">Q146+Q147</f>
        <v>1950000</v>
      </c>
      <c r="R145" s="46">
        <f t="shared" ca="1" si="122"/>
        <v>1950000</v>
      </c>
      <c r="S145" s="46">
        <f t="shared" ca="1" si="122"/>
        <v>0</v>
      </c>
      <c r="T145" s="46">
        <f t="shared" ca="1" si="113"/>
        <v>0</v>
      </c>
      <c r="U145" s="46">
        <f t="shared" ca="1" si="114"/>
        <v>0</v>
      </c>
    </row>
    <row r="146" spans="1:21" ht="18.75" hidden="1" x14ac:dyDescent="0.25">
      <c r="A146" s="128"/>
      <c r="B146" s="40"/>
      <c r="C146" s="40"/>
      <c r="D146" s="40"/>
      <c r="E146" s="47" t="s">
        <v>20</v>
      </c>
      <c r="F146" s="40"/>
      <c r="G146" s="42"/>
      <c r="H146" s="134" t="s">
        <v>14</v>
      </c>
      <c r="I146" s="135"/>
      <c r="J146" s="135"/>
      <c r="K146" s="136"/>
      <c r="L146" s="46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6" s="46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6" s="46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6" s="46">
        <f t="shared" ca="1" si="110"/>
        <v>0</v>
      </c>
      <c r="P146" s="46">
        <f t="shared" ca="1" si="111"/>
        <v>0</v>
      </c>
      <c r="Q146" s="48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6" s="48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6" s="48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6" s="48">
        <f t="shared" ca="1" si="113"/>
        <v>0</v>
      </c>
      <c r="U146" s="48">
        <f t="shared" ca="1" si="114"/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7" s="46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7" s="46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7" s="46">
        <f t="shared" ca="1" si="110"/>
        <v>0</v>
      </c>
      <c r="P147" s="46">
        <f t="shared" ca="1" si="111"/>
        <v>0</v>
      </c>
      <c r="Q147" s="46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1950000)</f>
        <v>1950000</v>
      </c>
      <c r="R147" s="46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1950000)</f>
        <v>1950000</v>
      </c>
      <c r="S147" s="46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7" s="46">
        <f t="shared" ca="1" si="113"/>
        <v>0</v>
      </c>
      <c r="U147" s="46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78"/>
      <c r="I148" s="44"/>
      <c r="J148" s="44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66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1)</f>
        <v>1</v>
      </c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66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0" s="166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130)</f>
        <v>130</v>
      </c>
      <c r="K150" s="46">
        <f t="shared" ref="K150:K154" ca="1" si="123">IF(I150&gt;0,J150*100/I150,0)</f>
        <v>86.666666666666671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66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1" s="166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13)</f>
        <v>13</v>
      </c>
      <c r="K151" s="46">
        <f t="shared" ca="1" si="123"/>
        <v>86.666666666666671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66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2" s="166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370)</f>
        <v>370</v>
      </c>
      <c r="K152" s="46">
        <f t="shared" ca="1" si="123"/>
        <v>92.5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66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3" s="166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40)</f>
        <v>40</v>
      </c>
      <c r="K153" s="46">
        <f t="shared" ca="1" si="123"/>
        <v>100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66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4" s="166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2)</f>
        <v>2</v>
      </c>
      <c r="K154" s="46">
        <f t="shared" ca="1" si="123"/>
        <v>13.333333333333334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27">
        <f ca="1">I167</f>
        <v>210</v>
      </c>
      <c r="J156" s="127">
        <f>J168</f>
        <v>0</v>
      </c>
      <c r="K156" s="34">
        <f ca="1">IF(I156&gt;0,J156*100/I156,0)</f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2">
        <f t="shared" ref="L157:N157" ca="1" si="124">L158+L159</f>
        <v>167000</v>
      </c>
      <c r="M157" s="132">
        <f t="shared" ca="1" si="124"/>
        <v>255704</v>
      </c>
      <c r="N157" s="132">
        <f t="shared" ca="1" si="124"/>
        <v>188773.27</v>
      </c>
      <c r="O157" s="132">
        <f t="shared" ref="O157:O165" ca="1" si="125">IF(L157&gt;0,N157*100/L157,0)</f>
        <v>113.03788622754492</v>
      </c>
      <c r="P157" s="132">
        <f t="shared" ref="P157:P165" ca="1" si="126">IF(M157&gt;0,N157*100/M157,0)</f>
        <v>73.824918655945936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47" t="s">
        <v>20</v>
      </c>
      <c r="F158" s="40"/>
      <c r="G158" s="42"/>
      <c r="H158" s="133" t="s">
        <v>14</v>
      </c>
      <c r="I158" s="44"/>
      <c r="J158" s="44"/>
      <c r="K158" s="45"/>
      <c r="L158" s="46">
        <f t="shared" ref="L158:N158" ca="1" si="130">L161+L164</f>
        <v>0</v>
      </c>
      <c r="M158" s="46">
        <f t="shared" ca="1" si="130"/>
        <v>0</v>
      </c>
      <c r="N158" s="46">
        <f t="shared" ca="1" si="130"/>
        <v>0</v>
      </c>
      <c r="O158" s="46">
        <f t="shared" ca="1" si="125"/>
        <v>0</v>
      </c>
      <c r="P158" s="46">
        <f t="shared" ca="1" si="126"/>
        <v>0</v>
      </c>
      <c r="Q158" s="48">
        <f t="shared" ref="Q158:S158" ca="1" si="131">Q161+Q164</f>
        <v>0</v>
      </c>
      <c r="R158" s="48">
        <f t="shared" ca="1" si="131"/>
        <v>0</v>
      </c>
      <c r="S158" s="48">
        <f t="shared" ca="1" si="131"/>
        <v>0</v>
      </c>
      <c r="T158" s="48">
        <f t="shared" ca="1" si="128"/>
        <v>0</v>
      </c>
      <c r="U158" s="48">
        <f t="shared" ca="1" si="129"/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">
        <f t="shared" ref="L159:N159" ca="1" si="132">L162+L165</f>
        <v>167000</v>
      </c>
      <c r="M159" s="46">
        <f t="shared" ca="1" si="132"/>
        <v>255704</v>
      </c>
      <c r="N159" s="46">
        <f t="shared" ca="1" si="132"/>
        <v>188773.27</v>
      </c>
      <c r="O159" s="46">
        <f t="shared" ca="1" si="125"/>
        <v>113.03788622754492</v>
      </c>
      <c r="P159" s="46">
        <f t="shared" ca="1" si="126"/>
        <v>73.824918655945936</v>
      </c>
      <c r="Q159" s="46">
        <f t="shared" ref="Q159:S159" ca="1" si="133">Q162+Q165</f>
        <v>0</v>
      </c>
      <c r="R159" s="46">
        <f t="shared" ca="1" si="133"/>
        <v>0</v>
      </c>
      <c r="S159" s="46">
        <f t="shared" ca="1" si="133"/>
        <v>0</v>
      </c>
      <c r="T159" s="46">
        <f t="shared" ca="1" si="128"/>
        <v>0</v>
      </c>
      <c r="U159" s="46">
        <f t="shared" ca="1" si="129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">
        <f t="shared" ref="L160:N160" ca="1" si="134">L161+L162</f>
        <v>167000</v>
      </c>
      <c r="M160" s="46">
        <f t="shared" ca="1" si="134"/>
        <v>255704</v>
      </c>
      <c r="N160" s="46">
        <f t="shared" ca="1" si="134"/>
        <v>188773.27</v>
      </c>
      <c r="O160" s="46">
        <f t="shared" ca="1" si="125"/>
        <v>113.03788622754492</v>
      </c>
      <c r="P160" s="46">
        <f t="shared" ca="1" si="126"/>
        <v>73.824918655945936</v>
      </c>
      <c r="Q160" s="46">
        <f t="shared" ref="Q160:S160" ca="1" si="135">Q161+Q162</f>
        <v>0</v>
      </c>
      <c r="R160" s="46">
        <f t="shared" ca="1" si="135"/>
        <v>0</v>
      </c>
      <c r="S160" s="46">
        <f t="shared" ca="1" si="135"/>
        <v>0</v>
      </c>
      <c r="T160" s="46">
        <f t="shared" ca="1" si="128"/>
        <v>0</v>
      </c>
      <c r="U160" s="46">
        <f t="shared" ca="1" si="129"/>
        <v>0</v>
      </c>
    </row>
    <row r="161" spans="1:21" ht="18.75" hidden="1" x14ac:dyDescent="0.25">
      <c r="A161" s="128"/>
      <c r="B161" s="40"/>
      <c r="C161" s="40"/>
      <c r="D161" s="40"/>
      <c r="E161" s="47" t="s">
        <v>36</v>
      </c>
      <c r="F161" s="40"/>
      <c r="G161" s="42"/>
      <c r="H161" s="134" t="s">
        <v>14</v>
      </c>
      <c r="I161" s="135"/>
      <c r="J161" s="135"/>
      <c r="K161" s="136"/>
      <c r="L161" s="46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1" s="46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1" s="46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1" s="46">
        <f t="shared" ca="1" si="125"/>
        <v>0</v>
      </c>
      <c r="P161" s="46">
        <f t="shared" ca="1" si="126"/>
        <v>0</v>
      </c>
      <c r="Q161" s="48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1" s="48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1" s="48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1" s="48">
        <f t="shared" ca="1" si="128"/>
        <v>0</v>
      </c>
      <c r="U161" s="48">
        <f t="shared" ca="1" si="129"/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167000)</f>
        <v>167000</v>
      </c>
      <c r="M162" s="46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255704)</f>
        <v>255704</v>
      </c>
      <c r="N162" s="46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188773.27)</f>
        <v>188773.27</v>
      </c>
      <c r="O162" s="46">
        <f t="shared" ca="1" si="125"/>
        <v>113.03788622754492</v>
      </c>
      <c r="P162" s="46">
        <f t="shared" ca="1" si="126"/>
        <v>73.824918655945936</v>
      </c>
      <c r="Q162" s="46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2" s="46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2" s="46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2" s="46">
        <f t="shared" ca="1" si="128"/>
        <v>0</v>
      </c>
      <c r="U162" s="46">
        <f t="shared" ca="1" si="129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">
        <f t="shared" ref="L163:N163" ca="1" si="136">L164+L165</f>
        <v>0</v>
      </c>
      <c r="M163" s="46">
        <f t="shared" ca="1" si="136"/>
        <v>0</v>
      </c>
      <c r="N163" s="46">
        <f t="shared" ca="1" si="136"/>
        <v>0</v>
      </c>
      <c r="O163" s="46">
        <f t="shared" ca="1" si="125"/>
        <v>0</v>
      </c>
      <c r="P163" s="46">
        <f t="shared" ca="1" si="126"/>
        <v>0</v>
      </c>
      <c r="Q163" s="46">
        <f t="shared" ref="Q163:S163" ca="1" si="137">Q164+Q165</f>
        <v>0</v>
      </c>
      <c r="R163" s="46">
        <f t="shared" ca="1" si="137"/>
        <v>0</v>
      </c>
      <c r="S163" s="46">
        <f t="shared" ca="1" si="137"/>
        <v>0</v>
      </c>
      <c r="T163" s="46">
        <f t="shared" ca="1" si="128"/>
        <v>0</v>
      </c>
      <c r="U163" s="46">
        <f t="shared" ca="1" si="129"/>
        <v>0</v>
      </c>
    </row>
    <row r="164" spans="1:21" ht="18.75" hidden="1" x14ac:dyDescent="0.25">
      <c r="A164" s="128"/>
      <c r="B164" s="40"/>
      <c r="C164" s="40"/>
      <c r="D164" s="40"/>
      <c r="E164" s="47" t="s">
        <v>20</v>
      </c>
      <c r="F164" s="40"/>
      <c r="G164" s="42"/>
      <c r="H164" s="134" t="s">
        <v>14</v>
      </c>
      <c r="I164" s="135"/>
      <c r="J164" s="135"/>
      <c r="K164" s="136"/>
      <c r="L164" s="46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4" s="46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4" s="46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4" s="46">
        <f t="shared" ca="1" si="125"/>
        <v>0</v>
      </c>
      <c r="P164" s="46">
        <f t="shared" ca="1" si="126"/>
        <v>0</v>
      </c>
      <c r="Q164" s="48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4" s="48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4" s="48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4" s="48">
        <f t="shared" ca="1" si="128"/>
        <v>0</v>
      </c>
      <c r="U164" s="48">
        <f t="shared" ca="1" si="129"/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5" s="46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5" s="46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5" s="46">
        <f t="shared" ca="1" si="125"/>
        <v>0</v>
      </c>
      <c r="P165" s="46">
        <f t="shared" ca="1" si="126"/>
        <v>0</v>
      </c>
      <c r="Q165" s="46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5" s="46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5" s="46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5" s="46">
        <f t="shared" ca="1" si="128"/>
        <v>0</v>
      </c>
      <c r="U165" s="46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78"/>
      <c r="I166" s="44"/>
      <c r="J166" s="44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66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210)</f>
        <v>210</v>
      </c>
      <c r="J167" s="166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239)</f>
        <v>239</v>
      </c>
      <c r="K167" s="46">
        <f t="shared" ref="K167:K169" ca="1" si="138">IF(I167&gt;0,J167*100/I167,0)</f>
        <v>113.80952380952381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47" t="s">
        <v>70</v>
      </c>
      <c r="E168" s="40"/>
      <c r="F168" s="40"/>
      <c r="G168" s="42"/>
      <c r="H168" s="137" t="s">
        <v>35</v>
      </c>
      <c r="I168" s="166">
        <f t="shared" ref="I168:I169" ca="1" si="139">I167</f>
        <v>210</v>
      </c>
      <c r="J168" s="184">
        <v>0</v>
      </c>
      <c r="K168" s="46">
        <f t="shared" ca="1" si="138"/>
        <v>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51" t="s">
        <v>71</v>
      </c>
      <c r="E169" s="1"/>
      <c r="F169" s="1"/>
      <c r="G169" s="52"/>
      <c r="H169" s="186" t="s">
        <v>35</v>
      </c>
      <c r="I169" s="187">
        <f t="shared" ca="1" si="139"/>
        <v>210</v>
      </c>
      <c r="J169" s="188">
        <v>0</v>
      </c>
      <c r="K169" s="111">
        <f t="shared" ca="1" si="138"/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205">
        <f t="shared" ref="I172:J172" ca="1" si="140">I183+I184</f>
        <v>285</v>
      </c>
      <c r="J172" s="205">
        <f t="shared" ca="1" si="140"/>
        <v>215</v>
      </c>
      <c r="K172" s="206">
        <f ca="1">IF(I172&gt;0,J172*100/I172,0)</f>
        <v>75.438596491228068</v>
      </c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2">
        <f t="shared" ref="L173:N173" ca="1" si="141">L174+L175</f>
        <v>333030</v>
      </c>
      <c r="M173" s="132">
        <f t="shared" ca="1" si="141"/>
        <v>1794000</v>
      </c>
      <c r="N173" s="132">
        <f t="shared" ca="1" si="141"/>
        <v>1729539</v>
      </c>
      <c r="O173" s="132">
        <f t="shared" ref="O173:O181" ca="1" si="142">IF(L173&gt;0,N173*100/L173,0)</f>
        <v>519.33429420772904</v>
      </c>
      <c r="P173" s="132">
        <f t="shared" ref="P173:P181" ca="1" si="143">IF(M173&gt;0,N173*100/M173,0)</f>
        <v>96.40685618729097</v>
      </c>
      <c r="Q173" s="132">
        <f t="shared" ref="Q173:S173" ca="1" si="144">Q174+Q175</f>
        <v>226080</v>
      </c>
      <c r="R173" s="132">
        <f t="shared" ca="1" si="144"/>
        <v>226080</v>
      </c>
      <c r="S173" s="132">
        <f t="shared" ca="1" si="144"/>
        <v>212230</v>
      </c>
      <c r="T173" s="132">
        <f t="shared" ref="T173:T181" ca="1" si="145">IF(Q173&gt;0,S173*100/Q173,0)</f>
        <v>93.873849964614294</v>
      </c>
      <c r="U173" s="132">
        <f t="shared" ref="U173:U181" ca="1" si="146">IF(R173&gt;0,S173*100/R173,0)</f>
        <v>93.873849964614294</v>
      </c>
    </row>
    <row r="174" spans="1:21" ht="18.75" hidden="1" x14ac:dyDescent="0.25">
      <c r="A174" s="128"/>
      <c r="B174" s="40"/>
      <c r="C174" s="40"/>
      <c r="D174" s="40"/>
      <c r="E174" s="47" t="s">
        <v>20</v>
      </c>
      <c r="F174" s="40"/>
      <c r="G174" s="42"/>
      <c r="H174" s="133" t="s">
        <v>14</v>
      </c>
      <c r="I174" s="44"/>
      <c r="J174" s="44"/>
      <c r="K174" s="45"/>
      <c r="L174" s="46">
        <f t="shared" ref="L174:N174" ca="1" si="147">L177+L180</f>
        <v>0</v>
      </c>
      <c r="M174" s="46">
        <f t="shared" ca="1" si="147"/>
        <v>0</v>
      </c>
      <c r="N174" s="46">
        <f t="shared" ca="1" si="147"/>
        <v>0</v>
      </c>
      <c r="O174" s="46">
        <f t="shared" ca="1" si="142"/>
        <v>0</v>
      </c>
      <c r="P174" s="46">
        <f t="shared" ca="1" si="143"/>
        <v>0</v>
      </c>
      <c r="Q174" s="48">
        <f t="shared" ref="Q174:S174" ca="1" si="148">Q177+Q180</f>
        <v>0</v>
      </c>
      <c r="R174" s="48">
        <f t="shared" ca="1" si="148"/>
        <v>0</v>
      </c>
      <c r="S174" s="48">
        <f t="shared" ca="1" si="148"/>
        <v>0</v>
      </c>
      <c r="T174" s="48">
        <f t="shared" ca="1" si="145"/>
        <v>0</v>
      </c>
      <c r="U174" s="48">
        <f t="shared" ca="1" si="146"/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">
        <f t="shared" ref="L175:N175" ca="1" si="149">L178+L181</f>
        <v>333030</v>
      </c>
      <c r="M175" s="46">
        <f t="shared" ca="1" si="149"/>
        <v>1794000</v>
      </c>
      <c r="N175" s="46">
        <f t="shared" ca="1" si="149"/>
        <v>1729539</v>
      </c>
      <c r="O175" s="46">
        <f t="shared" ca="1" si="142"/>
        <v>519.33429420772904</v>
      </c>
      <c r="P175" s="46">
        <f t="shared" ca="1" si="143"/>
        <v>96.40685618729097</v>
      </c>
      <c r="Q175" s="46">
        <f t="shared" ref="Q175:S175" ca="1" si="150">Q178+Q181</f>
        <v>226080</v>
      </c>
      <c r="R175" s="46">
        <f t="shared" ca="1" si="150"/>
        <v>226080</v>
      </c>
      <c r="S175" s="46">
        <f t="shared" ca="1" si="150"/>
        <v>212230</v>
      </c>
      <c r="T175" s="46">
        <f t="shared" ca="1" si="145"/>
        <v>93.873849964614294</v>
      </c>
      <c r="U175" s="46">
        <f t="shared" ca="1" si="146"/>
        <v>93.873849964614294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">
        <f t="shared" ref="L176:N176" ca="1" si="151">L177+L178</f>
        <v>333030</v>
      </c>
      <c r="M176" s="46">
        <f t="shared" ca="1" si="151"/>
        <v>1794000</v>
      </c>
      <c r="N176" s="46">
        <f t="shared" ca="1" si="151"/>
        <v>1729539</v>
      </c>
      <c r="O176" s="46">
        <f t="shared" ca="1" si="142"/>
        <v>519.33429420772904</v>
      </c>
      <c r="P176" s="46">
        <f t="shared" ca="1" si="143"/>
        <v>96.40685618729097</v>
      </c>
      <c r="Q176" s="46">
        <f t="shared" ref="Q176:S176" ca="1" si="152">Q177+Q178</f>
        <v>226080</v>
      </c>
      <c r="R176" s="46">
        <f t="shared" ca="1" si="152"/>
        <v>226080</v>
      </c>
      <c r="S176" s="46">
        <f t="shared" ca="1" si="152"/>
        <v>212230</v>
      </c>
      <c r="T176" s="46">
        <f t="shared" ca="1" si="145"/>
        <v>93.873849964614294</v>
      </c>
      <c r="U176" s="46">
        <f t="shared" ca="1" si="146"/>
        <v>93.873849964614294</v>
      </c>
    </row>
    <row r="177" spans="1:21" ht="18.75" hidden="1" x14ac:dyDescent="0.25">
      <c r="A177" s="128"/>
      <c r="B177" s="40"/>
      <c r="C177" s="40"/>
      <c r="D177" s="40"/>
      <c r="E177" s="47" t="s">
        <v>36</v>
      </c>
      <c r="F177" s="40"/>
      <c r="G177" s="42"/>
      <c r="H177" s="134" t="s">
        <v>14</v>
      </c>
      <c r="I177" s="135"/>
      <c r="J177" s="135"/>
      <c r="K177" s="136"/>
      <c r="L177" s="46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7" s="46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7" s="46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7" s="46">
        <f t="shared" ca="1" si="142"/>
        <v>0</v>
      </c>
      <c r="P177" s="46">
        <f t="shared" ca="1" si="143"/>
        <v>0</v>
      </c>
      <c r="Q177" s="48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7" s="48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7" s="48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7" s="48">
        <f t="shared" ca="1" si="145"/>
        <v>0</v>
      </c>
      <c r="U177" s="48">
        <f t="shared" ca="1" si="146"/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8" s="46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8" s="46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1729539)</f>
        <v>1729539</v>
      </c>
      <c r="O178" s="46">
        <f t="shared" ca="1" si="142"/>
        <v>519.33429420772904</v>
      </c>
      <c r="P178" s="46">
        <f t="shared" ca="1" si="143"/>
        <v>96.40685618729097</v>
      </c>
      <c r="Q178" s="46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226080)</f>
        <v>226080</v>
      </c>
      <c r="R178" s="46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226080)</f>
        <v>226080</v>
      </c>
      <c r="S178" s="46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212230)</f>
        <v>212230</v>
      </c>
      <c r="T178" s="46">
        <f t="shared" ca="1" si="145"/>
        <v>93.873849964614294</v>
      </c>
      <c r="U178" s="46">
        <f t="shared" ca="1" si="146"/>
        <v>93.873849964614294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">
        <f t="shared" ref="L179:N179" ca="1" si="153">L180+L181</f>
        <v>0</v>
      </c>
      <c r="M179" s="46">
        <f t="shared" ca="1" si="153"/>
        <v>0</v>
      </c>
      <c r="N179" s="46">
        <f t="shared" ca="1" si="153"/>
        <v>0</v>
      </c>
      <c r="O179" s="46">
        <f t="shared" ca="1" si="142"/>
        <v>0</v>
      </c>
      <c r="P179" s="46">
        <f t="shared" ca="1" si="143"/>
        <v>0</v>
      </c>
      <c r="Q179" s="46">
        <f t="shared" ref="Q179:S179" ca="1" si="154">Q180+Q181</f>
        <v>0</v>
      </c>
      <c r="R179" s="46">
        <f t="shared" ca="1" si="154"/>
        <v>0</v>
      </c>
      <c r="S179" s="46">
        <f t="shared" ca="1" si="154"/>
        <v>0</v>
      </c>
      <c r="T179" s="46">
        <f t="shared" ca="1" si="145"/>
        <v>0</v>
      </c>
      <c r="U179" s="46">
        <f t="shared" ca="1" si="146"/>
        <v>0</v>
      </c>
    </row>
    <row r="180" spans="1:21" ht="18.75" hidden="1" x14ac:dyDescent="0.25">
      <c r="A180" s="128"/>
      <c r="B180" s="40"/>
      <c r="C180" s="40"/>
      <c r="D180" s="40"/>
      <c r="E180" s="47" t="s">
        <v>20</v>
      </c>
      <c r="F180" s="40"/>
      <c r="G180" s="42"/>
      <c r="H180" s="134" t="s">
        <v>14</v>
      </c>
      <c r="I180" s="135"/>
      <c r="J180" s="135"/>
      <c r="K180" s="136"/>
      <c r="L180" s="46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0" s="46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0" s="46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0" s="46">
        <f t="shared" ca="1" si="142"/>
        <v>0</v>
      </c>
      <c r="P180" s="46">
        <f t="shared" ca="1" si="143"/>
        <v>0</v>
      </c>
      <c r="Q180" s="48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0" s="48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0" s="48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0" s="48">
        <f t="shared" ca="1" si="145"/>
        <v>0</v>
      </c>
      <c r="U180" s="48">
        <f t="shared" ca="1" si="146"/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1" s="46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1" s="46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1" s="46">
        <f t="shared" ca="1" si="142"/>
        <v>0</v>
      </c>
      <c r="P181" s="46">
        <f t="shared" ca="1" si="143"/>
        <v>0</v>
      </c>
      <c r="Q181" s="46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1" s="46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1" s="46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1" s="46">
        <f t="shared" ca="1" si="145"/>
        <v>0</v>
      </c>
      <c r="U181" s="46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78"/>
      <c r="I182" s="44"/>
      <c r="J182" s="44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66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215)</f>
        <v>215</v>
      </c>
      <c r="J183" s="166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215)</f>
        <v>215</v>
      </c>
      <c r="K183" s="46">
        <f t="shared" ref="K183:K185" ca="1" si="155">IF(I183&gt;0,J183*100/I183,0)</f>
        <v>100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209" t="s">
        <v>76</v>
      </c>
      <c r="E184" s="40"/>
      <c r="F184" s="40"/>
      <c r="G184" s="42"/>
      <c r="H184" s="210" t="s">
        <v>35</v>
      </c>
      <c r="I184" s="184">
        <v>70</v>
      </c>
      <c r="J184" s="184">
        <v>0</v>
      </c>
      <c r="K184" s="46">
        <f t="shared" si="155"/>
        <v>0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205">
        <f t="shared" ref="I185:J185" ca="1" si="156">I230+I231</f>
        <v>0</v>
      </c>
      <c r="J185" s="205">
        <f t="shared" ca="1" si="156"/>
        <v>0</v>
      </c>
      <c r="K185" s="206">
        <f t="shared" ca="1" si="155"/>
        <v>0</v>
      </c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2">
        <f t="shared" ref="L186:N186" ca="1" si="157">L187+L188</f>
        <v>3915288</v>
      </c>
      <c r="M186" s="132">
        <f t="shared" ca="1" si="157"/>
        <v>4940603</v>
      </c>
      <c r="N186" s="132">
        <f t="shared" ca="1" si="157"/>
        <v>4427177.7899999898</v>
      </c>
      <c r="O186" s="132">
        <f t="shared" ref="O186:O194" ca="1" si="158">IF(L186&gt;0,N186*100/L186,0)</f>
        <v>113.07412864647479</v>
      </c>
      <c r="P186" s="132">
        <f t="shared" ref="P186:P194" ca="1" si="159">IF(M186&gt;0,N186*100/M186,0)</f>
        <v>89.608045617103613</v>
      </c>
      <c r="Q186" s="132">
        <f t="shared" ref="Q186:S186" ca="1" si="160">Q187+Q188</f>
        <v>1496500</v>
      </c>
      <c r="R186" s="132">
        <f t="shared" ca="1" si="160"/>
        <v>1459810</v>
      </c>
      <c r="S186" s="132">
        <f t="shared" ca="1" si="160"/>
        <v>1334870</v>
      </c>
      <c r="T186" s="132">
        <f t="shared" ref="T186:T194" ca="1" si="161">IF(Q186&gt;0,S186*100/Q186,0)</f>
        <v>89.199465419311721</v>
      </c>
      <c r="U186" s="132">
        <f t="shared" ref="U186:U194" ca="1" si="162">IF(R186&gt;0,S186*100/R186,0)</f>
        <v>91.441351956761494</v>
      </c>
    </row>
    <row r="187" spans="1:21" ht="18.75" hidden="1" x14ac:dyDescent="0.25">
      <c r="A187" s="128"/>
      <c r="B187" s="40"/>
      <c r="C187" s="40"/>
      <c r="D187" s="40"/>
      <c r="E187" s="47" t="s">
        <v>20</v>
      </c>
      <c r="F187" s="40"/>
      <c r="G187" s="42"/>
      <c r="H187" s="133" t="s">
        <v>14</v>
      </c>
      <c r="I187" s="44"/>
      <c r="J187" s="44"/>
      <c r="K187" s="45"/>
      <c r="L187" s="46">
        <f t="shared" ref="L187:N187" ca="1" si="163">L190+L193</f>
        <v>0</v>
      </c>
      <c r="M187" s="46">
        <f t="shared" ca="1" si="163"/>
        <v>0</v>
      </c>
      <c r="N187" s="46">
        <f t="shared" ca="1" si="163"/>
        <v>0</v>
      </c>
      <c r="O187" s="46">
        <f t="shared" ca="1" si="158"/>
        <v>0</v>
      </c>
      <c r="P187" s="46">
        <f t="shared" ca="1" si="159"/>
        <v>0</v>
      </c>
      <c r="Q187" s="48">
        <f t="shared" ref="Q187:S187" ca="1" si="164">Q190+Q193</f>
        <v>0</v>
      </c>
      <c r="R187" s="48">
        <f t="shared" ca="1" si="164"/>
        <v>0</v>
      </c>
      <c r="S187" s="48">
        <f t="shared" ca="1" si="164"/>
        <v>0</v>
      </c>
      <c r="T187" s="48">
        <f t="shared" ca="1" si="161"/>
        <v>0</v>
      </c>
      <c r="U187" s="48">
        <f t="shared" ca="1" si="162"/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">
        <f t="shared" ref="L188:N188" ca="1" si="165">L191+L194</f>
        <v>3915288</v>
      </c>
      <c r="M188" s="46">
        <f t="shared" ca="1" si="165"/>
        <v>4940603</v>
      </c>
      <c r="N188" s="46">
        <f t="shared" ca="1" si="165"/>
        <v>4427177.7899999898</v>
      </c>
      <c r="O188" s="46">
        <f t="shared" ca="1" si="158"/>
        <v>113.07412864647479</v>
      </c>
      <c r="P188" s="46">
        <f t="shared" ca="1" si="159"/>
        <v>89.608045617103613</v>
      </c>
      <c r="Q188" s="46">
        <f t="shared" ref="Q188:S188" ca="1" si="166">Q191+Q194</f>
        <v>1496500</v>
      </c>
      <c r="R188" s="46">
        <f t="shared" ca="1" si="166"/>
        <v>1459810</v>
      </c>
      <c r="S188" s="46">
        <f t="shared" ca="1" si="166"/>
        <v>1334870</v>
      </c>
      <c r="T188" s="46">
        <f t="shared" ca="1" si="161"/>
        <v>89.199465419311721</v>
      </c>
      <c r="U188" s="46">
        <f t="shared" ca="1" si="162"/>
        <v>91.441351956761494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">
        <f t="shared" ref="L189:N189" ca="1" si="167">L190+L191</f>
        <v>3915288</v>
      </c>
      <c r="M189" s="46">
        <f t="shared" ca="1" si="167"/>
        <v>4940603</v>
      </c>
      <c r="N189" s="46">
        <f t="shared" ca="1" si="167"/>
        <v>4427177.7899999898</v>
      </c>
      <c r="O189" s="46">
        <f t="shared" ca="1" si="158"/>
        <v>113.07412864647479</v>
      </c>
      <c r="P189" s="46">
        <f t="shared" ca="1" si="159"/>
        <v>89.608045617103613</v>
      </c>
      <c r="Q189" s="46">
        <f t="shared" ref="Q189:S189" ca="1" si="168">Q190+Q191</f>
        <v>1496500</v>
      </c>
      <c r="R189" s="46">
        <f t="shared" ca="1" si="168"/>
        <v>1459810</v>
      </c>
      <c r="S189" s="46">
        <f t="shared" ca="1" si="168"/>
        <v>1334870</v>
      </c>
      <c r="T189" s="46">
        <f t="shared" ca="1" si="161"/>
        <v>89.199465419311721</v>
      </c>
      <c r="U189" s="46">
        <f t="shared" ca="1" si="162"/>
        <v>91.441351956761494</v>
      </c>
    </row>
    <row r="190" spans="1:21" ht="18.75" hidden="1" x14ac:dyDescent="0.25">
      <c r="A190" s="128"/>
      <c r="B190" s="40"/>
      <c r="C190" s="40"/>
      <c r="D190" s="40"/>
      <c r="E190" s="47" t="s">
        <v>36</v>
      </c>
      <c r="F190" s="40"/>
      <c r="G190" s="42"/>
      <c r="H190" s="134" t="s">
        <v>14</v>
      </c>
      <c r="I190" s="135"/>
      <c r="J190" s="135"/>
      <c r="K190" s="136"/>
      <c r="L190" s="46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0" s="46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0" s="46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0" s="46">
        <f t="shared" ca="1" si="158"/>
        <v>0</v>
      </c>
      <c r="P190" s="46">
        <f t="shared" ca="1" si="159"/>
        <v>0</v>
      </c>
      <c r="Q190" s="48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0" s="48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0" s="48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0" s="48">
        <f t="shared" ca="1" si="161"/>
        <v>0</v>
      </c>
      <c r="U190" s="48">
        <f t="shared" ca="1" si="162"/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3915288)</f>
        <v>3915288</v>
      </c>
      <c r="M191" s="46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4940603)</f>
        <v>4940603</v>
      </c>
      <c r="N191" s="46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4427177.78999999)</f>
        <v>4427177.7899999898</v>
      </c>
      <c r="O191" s="46">
        <f t="shared" ca="1" si="158"/>
        <v>113.07412864647479</v>
      </c>
      <c r="P191" s="46">
        <f t="shared" ca="1" si="159"/>
        <v>89.608045617103613</v>
      </c>
      <c r="Q191" s="46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1496500)</f>
        <v>1496500</v>
      </c>
      <c r="R191" s="46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1459810)</f>
        <v>1459810</v>
      </c>
      <c r="S191" s="46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1334870)</f>
        <v>1334870</v>
      </c>
      <c r="T191" s="46">
        <f t="shared" ca="1" si="161"/>
        <v>89.199465419311721</v>
      </c>
      <c r="U191" s="46">
        <f t="shared" ca="1" si="162"/>
        <v>91.441351956761494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">
        <f t="shared" ref="L192:N192" ca="1" si="169">L193+L194</f>
        <v>0</v>
      </c>
      <c r="M192" s="46">
        <f t="shared" ca="1" si="169"/>
        <v>0</v>
      </c>
      <c r="N192" s="46">
        <f t="shared" ca="1" si="169"/>
        <v>0</v>
      </c>
      <c r="O192" s="46">
        <f t="shared" ca="1" si="158"/>
        <v>0</v>
      </c>
      <c r="P192" s="46">
        <f t="shared" ca="1" si="159"/>
        <v>0</v>
      </c>
      <c r="Q192" s="46">
        <f t="shared" ref="Q192:S192" ca="1" si="170">Q193+Q194</f>
        <v>0</v>
      </c>
      <c r="R192" s="46">
        <f t="shared" ca="1" si="170"/>
        <v>0</v>
      </c>
      <c r="S192" s="46">
        <f t="shared" ca="1" si="170"/>
        <v>0</v>
      </c>
      <c r="T192" s="46">
        <f t="shared" ca="1" si="161"/>
        <v>0</v>
      </c>
      <c r="U192" s="46">
        <f t="shared" ca="1" si="162"/>
        <v>0</v>
      </c>
    </row>
    <row r="193" spans="1:21" ht="18.75" hidden="1" x14ac:dyDescent="0.25">
      <c r="A193" s="128"/>
      <c r="B193" s="40"/>
      <c r="C193" s="40"/>
      <c r="D193" s="40"/>
      <c r="E193" s="47" t="s">
        <v>20</v>
      </c>
      <c r="F193" s="40"/>
      <c r="G193" s="42"/>
      <c r="H193" s="134" t="s">
        <v>14</v>
      </c>
      <c r="I193" s="135"/>
      <c r="J193" s="135"/>
      <c r="K193" s="136"/>
      <c r="L193" s="46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3" s="46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3" s="46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3" s="46">
        <f t="shared" ca="1" si="158"/>
        <v>0</v>
      </c>
      <c r="P193" s="46">
        <f t="shared" ca="1" si="159"/>
        <v>0</v>
      </c>
      <c r="Q193" s="48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3" s="48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3" s="48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3" s="48">
        <f t="shared" ca="1" si="161"/>
        <v>0</v>
      </c>
      <c r="U193" s="48">
        <f t="shared" ca="1" si="162"/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4" s="46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4" s="46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4" s="46">
        <f t="shared" ca="1" si="158"/>
        <v>0</v>
      </c>
      <c r="P194" s="46">
        <f t="shared" ca="1" si="159"/>
        <v>0</v>
      </c>
      <c r="Q194" s="46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4" s="46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4" s="46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4" s="46">
        <f t="shared" ca="1" si="161"/>
        <v>0</v>
      </c>
      <c r="U194" s="46">
        <f t="shared" ca="1" si="1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217">
        <f t="shared" ref="I195:J195" ca="1" si="171">I198</f>
        <v>68</v>
      </c>
      <c r="J195" s="217">
        <f t="shared" ca="1" si="171"/>
        <v>66</v>
      </c>
      <c r="K195" s="218">
        <f ca="1">IF(I195&gt;0,J195*100/I195,0)</f>
        <v>97.058823529411768</v>
      </c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220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2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6" s="132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6" s="132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67414.05)</f>
        <v>67414.05</v>
      </c>
      <c r="O196" s="132">
        <f ca="1">IF(L196&gt;0,N196*100/L196,0)</f>
        <v>66.092205882352943</v>
      </c>
      <c r="P196" s="45"/>
      <c r="Q196" s="45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6" s="45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6" s="45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6" s="45"/>
      <c r="U196" s="45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4"/>
      <c r="J197" s="44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66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8" s="166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66)</f>
        <v>66</v>
      </c>
      <c r="K198" s="46">
        <f ca="1">IF(I198&gt;0,J198*100/I198,0)</f>
        <v>97.058823529411768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22" t="s">
        <v>35</v>
      </c>
      <c r="I199" s="44"/>
      <c r="J199" s="147">
        <f ca="1">J200+J201</f>
        <v>1477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66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1475)</f>
        <v>1475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66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2)</f>
        <v>2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217">
        <f t="shared" ref="I202:J202" ca="1" si="172">I209</f>
        <v>53</v>
      </c>
      <c r="J202" s="217">
        <f t="shared" ca="1" si="172"/>
        <v>49</v>
      </c>
      <c r="K202" s="218">
        <f ca="1">IF(I202&gt;0,J202*100/I202,0)</f>
        <v>92.452830188679243</v>
      </c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220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2">
        <f t="shared" ref="L203:N203" ca="1" si="173">L204+L205+L206+L207</f>
        <v>336000</v>
      </c>
      <c r="M203" s="132">
        <f t="shared" ca="1" si="173"/>
        <v>0</v>
      </c>
      <c r="N203" s="132">
        <f t="shared" ca="1" si="173"/>
        <v>223294.88</v>
      </c>
      <c r="O203" s="132">
        <f ca="1">IF(L203&gt;0,N203*100/L203,0)</f>
        <v>66.456809523809525</v>
      </c>
      <c r="P203" s="45"/>
      <c r="Q203" s="46">
        <f t="shared" ref="Q203:S203" ca="1" si="174">Q204+Q205+Q206+Q207</f>
        <v>672000</v>
      </c>
      <c r="R203" s="46">
        <f t="shared" ca="1" si="174"/>
        <v>0</v>
      </c>
      <c r="S203" s="46">
        <f t="shared" ca="1" si="174"/>
        <v>344120</v>
      </c>
      <c r="T203" s="46"/>
      <c r="U203" s="46"/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46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53000)</f>
        <v>53000</v>
      </c>
      <c r="M204" s="46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4" s="46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36684.88)</f>
        <v>36684.879999999997</v>
      </c>
      <c r="O204" s="136"/>
      <c r="P204" s="45"/>
      <c r="Q204" s="46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4" s="46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4" s="46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4" s="152"/>
      <c r="U204" s="46"/>
    </row>
    <row r="205" spans="1:21" ht="18.75" x14ac:dyDescent="0.25">
      <c r="A205" s="208"/>
      <c r="B205" s="158"/>
      <c r="C205" s="40"/>
      <c r="D205" s="47" t="s">
        <v>87</v>
      </c>
      <c r="E205" s="40"/>
      <c r="F205" s="40"/>
      <c r="G205" s="42"/>
      <c r="H205" s="43" t="s">
        <v>14</v>
      </c>
      <c r="I205" s="44"/>
      <c r="J205" s="44"/>
      <c r="K205" s="45"/>
      <c r="L205" s="224">
        <v>0</v>
      </c>
      <c r="M205" s="224">
        <v>0</v>
      </c>
      <c r="N205" s="224">
        <v>0</v>
      </c>
      <c r="O205" s="136"/>
      <c r="P205" s="45"/>
      <c r="Q205" s="46">
        <v>0</v>
      </c>
      <c r="R205" s="46">
        <v>0</v>
      </c>
      <c r="S205" s="46">
        <v>0</v>
      </c>
      <c r="T205" s="152"/>
      <c r="U205" s="46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40000)</f>
        <v>40000</v>
      </c>
      <c r="M206" s="46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6" s="46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39880)</f>
        <v>39880</v>
      </c>
      <c r="O206" s="136"/>
      <c r="P206" s="45"/>
      <c r="Q206" s="46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672000)</f>
        <v>672000</v>
      </c>
      <c r="R206" s="46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6" s="46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344120)</f>
        <v>344120</v>
      </c>
      <c r="T206" s="152"/>
      <c r="U206" s="46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243000)</f>
        <v>243000</v>
      </c>
      <c r="M207" s="46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7" s="46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146730)</f>
        <v>146730</v>
      </c>
      <c r="O207" s="136"/>
      <c r="P207" s="45"/>
      <c r="Q207" s="46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7" s="46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7" s="46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7" s="152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52"/>
      <c r="R208" s="152"/>
      <c r="S208" s="152"/>
      <c r="T208" s="152"/>
      <c r="U208" s="152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66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53)</f>
        <v>53</v>
      </c>
      <c r="J209" s="166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49)</f>
        <v>49</v>
      </c>
      <c r="K209" s="152">
        <f ca="1">IF(I209&gt;0,J209*100/I209,0)</f>
        <v>92.452830188679243</v>
      </c>
      <c r="L209" s="45"/>
      <c r="M209" s="45"/>
      <c r="N209" s="45"/>
      <c r="O209" s="45"/>
      <c r="P209" s="45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5"/>
      <c r="M210" s="45"/>
      <c r="N210" s="45"/>
      <c r="O210" s="45"/>
      <c r="P210" s="45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v>0</v>
      </c>
      <c r="J211" s="166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46)</f>
        <v>46</v>
      </c>
      <c r="K211" s="152">
        <f t="shared" ref="K211:K213" si="175">IF(I211&gt;0,J211*100/I211,0)</f>
        <v>0</v>
      </c>
      <c r="L211" s="45"/>
      <c r="M211" s="45"/>
      <c r="N211" s="45"/>
      <c r="O211" s="45"/>
      <c r="P211" s="45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v>0</v>
      </c>
      <c r="J212" s="166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6)</f>
        <v>6</v>
      </c>
      <c r="K212" s="152">
        <f t="shared" si="175"/>
        <v>0</v>
      </c>
      <c r="L212" s="45"/>
      <c r="M212" s="45"/>
      <c r="N212" s="45"/>
      <c r="O212" s="45"/>
      <c r="P212" s="45"/>
      <c r="Q212" s="46"/>
      <c r="R212" s="46"/>
      <c r="S212" s="46"/>
      <c r="T212" s="46"/>
      <c r="U212" s="46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217">
        <f t="shared" ref="I213:J213" ca="1" si="176">I220</f>
        <v>4</v>
      </c>
      <c r="J213" s="217">
        <f t="shared" ca="1" si="176"/>
        <v>4</v>
      </c>
      <c r="K213" s="218">
        <f t="shared" ca="1" si="175"/>
        <v>100</v>
      </c>
      <c r="L213" s="219"/>
      <c r="M213" s="219"/>
      <c r="N213" s="219"/>
      <c r="O213" s="219"/>
      <c r="P213" s="219"/>
      <c r="Q213" s="226"/>
      <c r="R213" s="226"/>
      <c r="S213" s="226"/>
      <c r="T213" s="226"/>
      <c r="U213" s="226"/>
    </row>
    <row r="214" spans="1:21" ht="19.5" x14ac:dyDescent="0.3">
      <c r="A214" s="128"/>
      <c r="B214" s="40"/>
      <c r="C214" s="129" t="s">
        <v>18</v>
      </c>
      <c r="D214" s="220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2">
        <f t="shared" ref="L214:N214" ca="1" si="177">L215+L216+L217</f>
        <v>24000</v>
      </c>
      <c r="M214" s="132">
        <f t="shared" ca="1" si="177"/>
        <v>0</v>
      </c>
      <c r="N214" s="132">
        <f t="shared" ca="1" si="177"/>
        <v>17710</v>
      </c>
      <c r="O214" s="132">
        <f ca="1">IF(L214&gt;0,N214*100/L214,0)</f>
        <v>73.791666666666671</v>
      </c>
      <c r="P214" s="45"/>
      <c r="Q214" s="46">
        <f t="shared" ref="Q214:S214" ca="1" si="178">Q215+Q216+Q217</f>
        <v>198800</v>
      </c>
      <c r="R214" s="46">
        <f t="shared" ca="1" si="178"/>
        <v>0</v>
      </c>
      <c r="S214" s="46">
        <f t="shared" ca="1" si="178"/>
        <v>176020</v>
      </c>
      <c r="T214" s="46"/>
      <c r="U214" s="46"/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5" s="46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5" s="46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2710)</f>
        <v>2710</v>
      </c>
      <c r="O215" s="136"/>
      <c r="P215" s="45"/>
      <c r="Q215" s="46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5" s="46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5" s="46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5" s="152"/>
      <c r="U215" s="46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6" s="46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6" s="46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15000)</f>
        <v>15000</v>
      </c>
      <c r="O216" s="136"/>
      <c r="P216" s="45"/>
      <c r="Q216" s="46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6" s="46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6" s="46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6" s="152"/>
      <c r="U216" s="46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0)</f>
        <v>0</v>
      </c>
      <c r="M217" s="46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7" s="46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7" s="136"/>
      <c r="P217" s="45"/>
      <c r="Q217" s="46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198800)</f>
        <v>198800</v>
      </c>
      <c r="R217" s="46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7" s="46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176020)</f>
        <v>176020</v>
      </c>
      <c r="T217" s="152"/>
      <c r="U217" s="46"/>
    </row>
    <row r="218" spans="1:21" ht="19.5" x14ac:dyDescent="0.3">
      <c r="A218" s="138"/>
      <c r="B218" s="139"/>
      <c r="C218" s="161" t="s">
        <v>18</v>
      </c>
      <c r="D218" s="140" t="s">
        <v>38</v>
      </c>
      <c r="E218" s="141"/>
      <c r="F218" s="141"/>
      <c r="G218" s="142"/>
      <c r="H218" s="143"/>
      <c r="I218" s="135"/>
      <c r="J218" s="44"/>
      <c r="K218" s="45"/>
      <c r="L218" s="45"/>
      <c r="M218" s="45"/>
      <c r="N218" s="45"/>
      <c r="O218" s="136"/>
      <c r="P218" s="136"/>
      <c r="Q218" s="46"/>
      <c r="R218" s="46"/>
      <c r="S218" s="46"/>
      <c r="T218" s="152"/>
      <c r="U218" s="152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66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19" s="166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4)</f>
        <v>4</v>
      </c>
      <c r="K219" s="46">
        <f t="shared" ref="K219:K221" ca="1" si="179">IF(I219&gt;0,J219*100/I219,0)</f>
        <v>100</v>
      </c>
      <c r="L219" s="45"/>
      <c r="M219" s="45"/>
      <c r="N219" s="45"/>
      <c r="O219" s="45"/>
      <c r="P219" s="45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66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0" s="166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4)</f>
        <v>4</v>
      </c>
      <c r="K220" s="46">
        <f t="shared" ca="1" si="179"/>
        <v>100</v>
      </c>
      <c r="L220" s="45"/>
      <c r="M220" s="45"/>
      <c r="N220" s="45"/>
      <c r="O220" s="45"/>
      <c r="P220" s="45"/>
      <c r="Q220" s="46"/>
      <c r="R220" s="46"/>
      <c r="S220" s="46"/>
      <c r="T220" s="46"/>
      <c r="U220" s="46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217">
        <f t="shared" ref="I221:J221" ca="1" si="180">I229</f>
        <v>1024000</v>
      </c>
      <c r="J221" s="217">
        <f t="shared" ca="1" si="180"/>
        <v>1024000</v>
      </c>
      <c r="K221" s="218">
        <f t="shared" ca="1" si="179"/>
        <v>100</v>
      </c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220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2">
        <f t="shared" ref="L222:N222" ca="1" si="181">L223+L224+L225</f>
        <v>154500</v>
      </c>
      <c r="M222" s="132">
        <f t="shared" ca="1" si="181"/>
        <v>0</v>
      </c>
      <c r="N222" s="132">
        <f t="shared" ca="1" si="181"/>
        <v>96120</v>
      </c>
      <c r="O222" s="132">
        <f ca="1">IF(L222&gt;0,N222*100/L222,0)</f>
        <v>62.213592233009706</v>
      </c>
      <c r="P222" s="45"/>
      <c r="Q222" s="46">
        <f t="shared" ref="Q222:S222" ca="1" si="182">Q223+Q224+Q225</f>
        <v>0</v>
      </c>
      <c r="R222" s="46">
        <f t="shared" ca="1" si="182"/>
        <v>0</v>
      </c>
      <c r="S222" s="46">
        <f t="shared" ca="1" si="182"/>
        <v>0</v>
      </c>
      <c r="T222" s="46"/>
      <c r="U222" s="46"/>
    </row>
    <row r="223" spans="1:21" ht="18.75" x14ac:dyDescent="0.25">
      <c r="A223" s="128"/>
      <c r="B223" s="158"/>
      <c r="C223" s="40"/>
      <c r="D223" s="47" t="s">
        <v>86</v>
      </c>
      <c r="E223" s="40"/>
      <c r="F223" s="40"/>
      <c r="G223" s="42"/>
      <c r="H223" s="134" t="s">
        <v>14</v>
      </c>
      <c r="I223" s="135"/>
      <c r="J223" s="135"/>
      <c r="K223" s="136"/>
      <c r="L223" s="46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42500)</f>
        <v>42500</v>
      </c>
      <c r="M223" s="46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3" s="46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23720)</f>
        <v>23720</v>
      </c>
      <c r="O223" s="136"/>
      <c r="P223" s="45"/>
      <c r="Q223" s="46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3" s="46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3" s="46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3" s="152"/>
      <c r="U223" s="46"/>
    </row>
    <row r="224" spans="1:21" ht="18.75" x14ac:dyDescent="0.25">
      <c r="A224" s="208"/>
      <c r="B224" s="158"/>
      <c r="C224" s="158"/>
      <c r="D224" s="47" t="s">
        <v>100</v>
      </c>
      <c r="E224" s="40"/>
      <c r="F224" s="40"/>
      <c r="G224" s="42"/>
      <c r="H224" s="134" t="s">
        <v>14</v>
      </c>
      <c r="I224" s="44"/>
      <c r="J224" s="44"/>
      <c r="K224" s="45"/>
      <c r="L224" s="46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112000)</f>
        <v>112000</v>
      </c>
      <c r="M224" s="46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4" s="46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72400)</f>
        <v>72400</v>
      </c>
      <c r="O224" s="136"/>
      <c r="P224" s="45"/>
      <c r="Q224" s="46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4" s="46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4" s="46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4" s="152"/>
      <c r="U224" s="46"/>
    </row>
    <row r="225" spans="1:21" ht="18.75" hidden="1" x14ac:dyDescent="0.25">
      <c r="A225" s="227"/>
      <c r="B225" s="228"/>
      <c r="C225" s="228"/>
      <c r="D225" s="229"/>
      <c r="E225" s="229"/>
      <c r="F225" s="229"/>
      <c r="G225" s="230"/>
      <c r="H225" s="231"/>
      <c r="I225" s="232"/>
      <c r="J225" s="232"/>
      <c r="K225" s="233"/>
      <c r="L225" s="233"/>
      <c r="M225" s="233"/>
      <c r="N225" s="233"/>
      <c r="O225" s="233"/>
      <c r="P225" s="233"/>
      <c r="Q225" s="46"/>
      <c r="R225" s="46"/>
      <c r="S225" s="46"/>
      <c r="T225" s="152"/>
      <c r="U225" s="46"/>
    </row>
    <row r="226" spans="1:21" ht="19.5" x14ac:dyDescent="0.3">
      <c r="A226" s="138"/>
      <c r="B226" s="139"/>
      <c r="C226" s="161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52"/>
      <c r="R226" s="152"/>
      <c r="S226" s="152"/>
      <c r="T226" s="152"/>
      <c r="U226" s="152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6"/>
      <c r="M227" s="136"/>
      <c r="N227" s="136"/>
      <c r="O227" s="136"/>
      <c r="P227" s="136"/>
      <c r="Q227" s="152"/>
      <c r="R227" s="152"/>
      <c r="S227" s="152"/>
      <c r="T227" s="152"/>
      <c r="U227" s="152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66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8" s="166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1024000)</f>
        <v>1024000</v>
      </c>
      <c r="K228" s="152">
        <f t="shared" ref="K228:K231" ca="1" si="183">IF(I228&gt;0,J228*100/I228,0)</f>
        <v>100</v>
      </c>
      <c r="L228" s="136"/>
      <c r="M228" s="136"/>
      <c r="N228" s="136"/>
      <c r="O228" s="136"/>
      <c r="P228" s="136"/>
      <c r="Q228" s="152"/>
      <c r="R228" s="152"/>
      <c r="S228" s="152"/>
      <c r="T228" s="152"/>
      <c r="U228" s="152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66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29" s="166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1024000)</f>
        <v>1024000</v>
      </c>
      <c r="K229" s="152">
        <f t="shared" ca="1" si="183"/>
        <v>100</v>
      </c>
      <c r="L229" s="45"/>
      <c r="M229" s="45"/>
      <c r="N229" s="45"/>
      <c r="O229" s="45"/>
      <c r="P229" s="45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66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0" s="166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0" s="152">
        <f t="shared" ca="1" si="183"/>
        <v>0</v>
      </c>
      <c r="L230" s="45"/>
      <c r="M230" s="45"/>
      <c r="N230" s="45"/>
      <c r="O230" s="45"/>
      <c r="P230" s="45"/>
      <c r="Q230" s="46"/>
      <c r="R230" s="46"/>
      <c r="S230" s="46"/>
      <c r="T230" s="46"/>
      <c r="U230" s="46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217">
        <f t="shared" ref="I231:J231" si="184">I242+I253</f>
        <v>0</v>
      </c>
      <c r="J231" s="217">
        <f t="shared" si="184"/>
        <v>0</v>
      </c>
      <c r="K231" s="218">
        <f t="shared" si="183"/>
        <v>0</v>
      </c>
      <c r="L231" s="219"/>
      <c r="M231" s="219"/>
      <c r="N231" s="219"/>
      <c r="O231" s="219"/>
      <c r="P231" s="219"/>
      <c r="Q231" s="226"/>
      <c r="R231" s="226"/>
      <c r="S231" s="226"/>
      <c r="T231" s="226"/>
      <c r="U231" s="226"/>
    </row>
    <row r="232" spans="1:21" ht="19.5" x14ac:dyDescent="0.3">
      <c r="A232" s="128"/>
      <c r="B232" s="40"/>
      <c r="C232" s="129" t="s">
        <v>18</v>
      </c>
      <c r="D232" s="13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32">
        <f t="shared" ref="L232:N232" ca="1" si="185">L233+L234+L235+L236</f>
        <v>1842788</v>
      </c>
      <c r="M232" s="132">
        <f t="shared" ca="1" si="185"/>
        <v>0</v>
      </c>
      <c r="N232" s="132">
        <f t="shared" ca="1" si="185"/>
        <v>1312244.1099999999</v>
      </c>
      <c r="O232" s="132">
        <f ca="1">IF(L232&gt;0,N232*100/L232,0)</f>
        <v>71.209716473083162</v>
      </c>
      <c r="P232" s="45"/>
      <c r="Q232" s="46">
        <f t="shared" ref="Q232:S232" ca="1" si="186">Q233+Q234+Q235+Q236</f>
        <v>625700</v>
      </c>
      <c r="R232" s="46">
        <f t="shared" ca="1" si="186"/>
        <v>0</v>
      </c>
      <c r="S232" s="46">
        <f t="shared" ca="1" si="186"/>
        <v>572190</v>
      </c>
      <c r="T232" s="46"/>
      <c r="U232" s="46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1092400)</f>
        <v>1092400</v>
      </c>
      <c r="M233" s="46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3" s="46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216596)</f>
        <v>216596</v>
      </c>
      <c r="O233" s="45"/>
      <c r="P233" s="45"/>
      <c r="Q233" s="46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3" s="46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3" s="46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3" s="46"/>
      <c r="U233" s="46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31000)</f>
        <v>31000</v>
      </c>
      <c r="M234" s="46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4" s="46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586042.71)</f>
        <v>586042.71</v>
      </c>
      <c r="O234" s="45"/>
      <c r="P234" s="45"/>
      <c r="Q234" s="46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4" s="46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4" s="46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4" s="46"/>
      <c r="U234" s="46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201388)</f>
        <v>201388</v>
      </c>
      <c r="M235" s="46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5" s="46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171050)</f>
        <v>171050</v>
      </c>
      <c r="O235" s="45"/>
      <c r="P235" s="45"/>
      <c r="Q235" s="46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625700)</f>
        <v>625700</v>
      </c>
      <c r="R235" s="46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5" s="46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572190)</f>
        <v>572190</v>
      </c>
      <c r="T235" s="46"/>
      <c r="U235" s="46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518000)</f>
        <v>518000</v>
      </c>
      <c r="M236" s="46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6" s="46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338555.4)</f>
        <v>338555.4</v>
      </c>
      <c r="O236" s="45"/>
      <c r="P236" s="45"/>
      <c r="Q236" s="46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6" s="46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6" s="46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6" s="46"/>
      <c r="U236" s="46"/>
    </row>
    <row r="237" spans="1:21" ht="19.5" x14ac:dyDescent="0.3">
      <c r="A237" s="138"/>
      <c r="B237" s="139"/>
      <c r="C237" s="161" t="s">
        <v>18</v>
      </c>
      <c r="D237" s="140" t="s">
        <v>38</v>
      </c>
      <c r="E237" s="141"/>
      <c r="F237" s="141"/>
      <c r="G237" s="142"/>
      <c r="H237" s="143"/>
      <c r="I237" s="135"/>
      <c r="J237" s="44"/>
      <c r="K237" s="45"/>
      <c r="L237" s="45"/>
      <c r="M237" s="45"/>
      <c r="N237" s="45"/>
      <c r="O237" s="136"/>
      <c r="P237" s="136"/>
      <c r="Q237" s="46"/>
      <c r="R237" s="46"/>
      <c r="S237" s="46"/>
      <c r="T237" s="152"/>
      <c r="U237" s="152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66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420)</f>
        <v>420</v>
      </c>
      <c r="J238" s="166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400)</f>
        <v>400</v>
      </c>
      <c r="K238" s="46">
        <f ca="1">IF(I238&gt;0,J238*100/I238,0)</f>
        <v>95.238095238095241</v>
      </c>
      <c r="L238" s="45"/>
      <c r="M238" s="45"/>
      <c r="N238" s="45"/>
      <c r="O238" s="45"/>
      <c r="P238" s="45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5"/>
      <c r="M239" s="45"/>
      <c r="N239" s="45"/>
      <c r="O239" s="136"/>
      <c r="P239" s="136"/>
      <c r="Q239" s="46"/>
      <c r="R239" s="46"/>
      <c r="S239" s="46"/>
      <c r="T239" s="152"/>
      <c r="U239" s="152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v>0</v>
      </c>
      <c r="J240" s="166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400)</f>
        <v>400</v>
      </c>
      <c r="K240" s="46">
        <f t="shared" ref="K240:K241" si="187">IF(I240&gt;0,J240*100/I240,0)</f>
        <v>0</v>
      </c>
      <c r="L240" s="45"/>
      <c r="M240" s="45"/>
      <c r="N240" s="45"/>
      <c r="O240" s="45"/>
      <c r="P240" s="45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v>0</v>
      </c>
      <c r="J241" s="166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5)</f>
        <v>5</v>
      </c>
      <c r="K241" s="46">
        <f t="shared" si="187"/>
        <v>0</v>
      </c>
      <c r="L241" s="45"/>
      <c r="M241" s="45"/>
      <c r="N241" s="45"/>
      <c r="O241" s="45"/>
      <c r="P241" s="45"/>
      <c r="Q241" s="46"/>
      <c r="R241" s="46"/>
      <c r="S241" s="46"/>
      <c r="T241" s="46"/>
      <c r="U241" s="46"/>
    </row>
    <row r="242" spans="1:21" ht="19.5" hidden="1" x14ac:dyDescent="0.3">
      <c r="A242" s="227"/>
      <c r="B242" s="228"/>
      <c r="C242" s="235" t="s">
        <v>111</v>
      </c>
      <c r="D242" s="229"/>
      <c r="E242" s="229"/>
      <c r="F242" s="229"/>
      <c r="G242" s="230"/>
      <c r="H242" s="236" t="s">
        <v>35</v>
      </c>
      <c r="I242" s="232"/>
      <c r="J242" s="232"/>
      <c r="K242" s="233"/>
      <c r="L242" s="233"/>
      <c r="M242" s="233"/>
      <c r="N242" s="233"/>
      <c r="O242" s="233"/>
      <c r="P242" s="233"/>
      <c r="Q242" s="219"/>
      <c r="R242" s="219"/>
      <c r="S242" s="219"/>
      <c r="T242" s="219"/>
      <c r="U242" s="219"/>
    </row>
    <row r="243" spans="1:21" ht="19.5" hidden="1" x14ac:dyDescent="0.3">
      <c r="A243" s="237"/>
      <c r="B243" s="229"/>
      <c r="C243" s="235" t="s">
        <v>18</v>
      </c>
      <c r="D243" s="238" t="s">
        <v>19</v>
      </c>
      <c r="E243" s="229"/>
      <c r="F243" s="229"/>
      <c r="G243" s="230"/>
      <c r="H243" s="239" t="s">
        <v>14</v>
      </c>
      <c r="I243" s="232"/>
      <c r="J243" s="232"/>
      <c r="K243" s="233"/>
      <c r="L243" s="233"/>
      <c r="M243" s="233"/>
      <c r="N243" s="233"/>
      <c r="O243" s="233"/>
      <c r="P243" s="233"/>
      <c r="Q243" s="45"/>
      <c r="R243" s="45"/>
      <c r="S243" s="45"/>
      <c r="T243" s="45"/>
      <c r="U243" s="45"/>
    </row>
    <row r="244" spans="1:21" ht="18.75" hidden="1" x14ac:dyDescent="0.25">
      <c r="A244" s="237"/>
      <c r="B244" s="228"/>
      <c r="C244" s="229"/>
      <c r="D244" s="240" t="s">
        <v>86</v>
      </c>
      <c r="E244" s="229"/>
      <c r="F244" s="229"/>
      <c r="G244" s="230"/>
      <c r="H244" s="241" t="s">
        <v>14</v>
      </c>
      <c r="I244" s="232"/>
      <c r="J244" s="232"/>
      <c r="K244" s="233"/>
      <c r="L244" s="233"/>
      <c r="M244" s="233"/>
      <c r="N244" s="233"/>
      <c r="O244" s="233"/>
      <c r="P244" s="233"/>
      <c r="Q244" s="45"/>
      <c r="R244" s="45"/>
      <c r="S244" s="45"/>
      <c r="T244" s="45"/>
      <c r="U244" s="45"/>
    </row>
    <row r="245" spans="1:21" ht="18.75" hidden="1" x14ac:dyDescent="0.25">
      <c r="A245" s="227"/>
      <c r="B245" s="228"/>
      <c r="C245" s="228"/>
      <c r="D245" s="240" t="s">
        <v>88</v>
      </c>
      <c r="E245" s="229"/>
      <c r="F245" s="229"/>
      <c r="G245" s="230"/>
      <c r="H245" s="241" t="s">
        <v>14</v>
      </c>
      <c r="I245" s="232"/>
      <c r="J245" s="232"/>
      <c r="K245" s="233"/>
      <c r="L245" s="233"/>
      <c r="M245" s="233"/>
      <c r="N245" s="233"/>
      <c r="O245" s="233"/>
      <c r="P245" s="233"/>
      <c r="Q245" s="45"/>
      <c r="R245" s="45"/>
      <c r="S245" s="45"/>
      <c r="T245" s="45"/>
      <c r="U245" s="45"/>
    </row>
    <row r="246" spans="1:21" ht="18.75" hidden="1" x14ac:dyDescent="0.25">
      <c r="A246" s="227"/>
      <c r="B246" s="228"/>
      <c r="C246" s="228"/>
      <c r="D246" s="240" t="s">
        <v>106</v>
      </c>
      <c r="E246" s="229"/>
      <c r="F246" s="229"/>
      <c r="G246" s="230"/>
      <c r="H246" s="241" t="s">
        <v>14</v>
      </c>
      <c r="I246" s="232"/>
      <c r="J246" s="232"/>
      <c r="K246" s="233"/>
      <c r="L246" s="233"/>
      <c r="M246" s="233"/>
      <c r="N246" s="233"/>
      <c r="O246" s="233"/>
      <c r="P246" s="233"/>
      <c r="Q246" s="45"/>
      <c r="R246" s="45"/>
      <c r="S246" s="45"/>
      <c r="T246" s="45"/>
      <c r="U246" s="45"/>
    </row>
    <row r="247" spans="1:21" ht="18.75" hidden="1" x14ac:dyDescent="0.25">
      <c r="A247" s="227"/>
      <c r="B247" s="228"/>
      <c r="C247" s="228"/>
      <c r="D247" s="240" t="s">
        <v>107</v>
      </c>
      <c r="E247" s="229"/>
      <c r="F247" s="229"/>
      <c r="G247" s="230"/>
      <c r="H247" s="241" t="s">
        <v>14</v>
      </c>
      <c r="I247" s="232"/>
      <c r="J247" s="232"/>
      <c r="K247" s="233"/>
      <c r="L247" s="233"/>
      <c r="M247" s="233"/>
      <c r="N247" s="233"/>
      <c r="O247" s="233"/>
      <c r="P247" s="233"/>
      <c r="Q247" s="45"/>
      <c r="R247" s="45"/>
      <c r="S247" s="45"/>
      <c r="T247" s="45"/>
      <c r="U247" s="45"/>
    </row>
    <row r="248" spans="1:21" ht="19.5" hidden="1" x14ac:dyDescent="0.3">
      <c r="A248" s="227"/>
      <c r="B248" s="228"/>
      <c r="C248" s="242" t="s">
        <v>18</v>
      </c>
      <c r="D248" s="243" t="s">
        <v>38</v>
      </c>
      <c r="E248" s="229"/>
      <c r="F248" s="229"/>
      <c r="G248" s="230"/>
      <c r="H248" s="230"/>
      <c r="I248" s="232"/>
      <c r="J248" s="232"/>
      <c r="K248" s="233"/>
      <c r="L248" s="233"/>
      <c r="M248" s="233"/>
      <c r="N248" s="233"/>
      <c r="O248" s="233"/>
      <c r="P248" s="233"/>
      <c r="Q248" s="45"/>
      <c r="R248" s="45"/>
      <c r="S248" s="45"/>
      <c r="T248" s="136"/>
      <c r="U248" s="136"/>
    </row>
    <row r="249" spans="1:21" ht="18.75" hidden="1" x14ac:dyDescent="0.25">
      <c r="A249" s="227"/>
      <c r="B249" s="228"/>
      <c r="C249" s="228"/>
      <c r="D249" s="240" t="s">
        <v>108</v>
      </c>
      <c r="E249" s="229"/>
      <c r="F249" s="229"/>
      <c r="G249" s="230"/>
      <c r="H249" s="244" t="s">
        <v>35</v>
      </c>
      <c r="I249" s="232"/>
      <c r="J249" s="232"/>
      <c r="K249" s="233"/>
      <c r="L249" s="233"/>
      <c r="M249" s="233"/>
      <c r="N249" s="233"/>
      <c r="O249" s="233"/>
      <c r="P249" s="233"/>
      <c r="Q249" s="45"/>
      <c r="R249" s="45"/>
      <c r="S249" s="45"/>
      <c r="T249" s="45"/>
      <c r="U249" s="45"/>
    </row>
    <row r="250" spans="1:21" ht="18.75" hidden="1" x14ac:dyDescent="0.25">
      <c r="A250" s="227"/>
      <c r="B250" s="228"/>
      <c r="C250" s="228"/>
      <c r="D250" s="245" t="s">
        <v>43</v>
      </c>
      <c r="E250" s="229"/>
      <c r="F250" s="229"/>
      <c r="G250" s="230"/>
      <c r="H250" s="230"/>
      <c r="I250" s="232"/>
      <c r="J250" s="232"/>
      <c r="K250" s="233"/>
      <c r="L250" s="233"/>
      <c r="M250" s="233"/>
      <c r="N250" s="233"/>
      <c r="O250" s="233"/>
      <c r="P250" s="233"/>
      <c r="Q250" s="45"/>
      <c r="R250" s="45"/>
      <c r="S250" s="45"/>
      <c r="T250" s="136"/>
      <c r="U250" s="136"/>
    </row>
    <row r="251" spans="1:21" ht="18.75" hidden="1" x14ac:dyDescent="0.25">
      <c r="A251" s="227"/>
      <c r="B251" s="228"/>
      <c r="C251" s="228"/>
      <c r="D251" s="228"/>
      <c r="E251" s="246" t="s">
        <v>109</v>
      </c>
      <c r="F251" s="229"/>
      <c r="G251" s="230"/>
      <c r="H251" s="244" t="s">
        <v>35</v>
      </c>
      <c r="I251" s="232"/>
      <c r="J251" s="232"/>
      <c r="K251" s="233"/>
      <c r="L251" s="233"/>
      <c r="M251" s="233"/>
      <c r="N251" s="233"/>
      <c r="O251" s="233"/>
      <c r="P251" s="233"/>
      <c r="Q251" s="45"/>
      <c r="R251" s="45"/>
      <c r="S251" s="45"/>
      <c r="T251" s="45"/>
      <c r="U251" s="45"/>
    </row>
    <row r="252" spans="1:21" ht="18.75" hidden="1" x14ac:dyDescent="0.25">
      <c r="A252" s="227"/>
      <c r="B252" s="228"/>
      <c r="C252" s="228"/>
      <c r="D252" s="228"/>
      <c r="E252" s="246" t="s">
        <v>110</v>
      </c>
      <c r="F252" s="229"/>
      <c r="G252" s="230"/>
      <c r="H252" s="244" t="s">
        <v>61</v>
      </c>
      <c r="I252" s="232"/>
      <c r="J252" s="232"/>
      <c r="K252" s="233"/>
      <c r="L252" s="233"/>
      <c r="M252" s="233"/>
      <c r="N252" s="233"/>
      <c r="O252" s="233"/>
      <c r="P252" s="233"/>
      <c r="Q252" s="45"/>
      <c r="R252" s="45"/>
      <c r="S252" s="45"/>
      <c r="T252" s="45"/>
      <c r="U252" s="45"/>
    </row>
    <row r="253" spans="1:21" ht="19.5" hidden="1" x14ac:dyDescent="0.3">
      <c r="A253" s="227"/>
      <c r="B253" s="228"/>
      <c r="C253" s="235" t="s">
        <v>112</v>
      </c>
      <c r="D253" s="229"/>
      <c r="E253" s="229"/>
      <c r="F253" s="229"/>
      <c r="G253" s="230"/>
      <c r="H253" s="236" t="s">
        <v>35</v>
      </c>
      <c r="I253" s="232"/>
      <c r="J253" s="232"/>
      <c r="K253" s="233"/>
      <c r="L253" s="233"/>
      <c r="M253" s="233"/>
      <c r="N253" s="233"/>
      <c r="O253" s="233"/>
      <c r="P253" s="233"/>
      <c r="Q253" s="219"/>
      <c r="R253" s="219"/>
      <c r="S253" s="219"/>
      <c r="T253" s="219"/>
      <c r="U253" s="219"/>
    </row>
    <row r="254" spans="1:21" ht="19.5" hidden="1" x14ac:dyDescent="0.3">
      <c r="A254" s="237"/>
      <c r="B254" s="229"/>
      <c r="C254" s="235" t="s">
        <v>18</v>
      </c>
      <c r="D254" s="243" t="s">
        <v>19</v>
      </c>
      <c r="E254" s="229"/>
      <c r="F254" s="229"/>
      <c r="G254" s="230"/>
      <c r="H254" s="239" t="s">
        <v>14</v>
      </c>
      <c r="I254" s="232"/>
      <c r="J254" s="232"/>
      <c r="K254" s="233"/>
      <c r="L254" s="233"/>
      <c r="M254" s="233"/>
      <c r="N254" s="233"/>
      <c r="O254" s="233"/>
      <c r="P254" s="233"/>
      <c r="Q254" s="45"/>
      <c r="R254" s="45"/>
      <c r="S254" s="45"/>
      <c r="T254" s="45"/>
      <c r="U254" s="45"/>
    </row>
    <row r="255" spans="1:21" ht="18.75" hidden="1" x14ac:dyDescent="0.25">
      <c r="A255" s="237"/>
      <c r="B255" s="228"/>
      <c r="C255" s="229"/>
      <c r="D255" s="240" t="s">
        <v>86</v>
      </c>
      <c r="E255" s="229"/>
      <c r="F255" s="229"/>
      <c r="G255" s="230"/>
      <c r="H255" s="241" t="s">
        <v>14</v>
      </c>
      <c r="I255" s="232"/>
      <c r="J255" s="232"/>
      <c r="K255" s="233"/>
      <c r="L255" s="233"/>
      <c r="M255" s="233"/>
      <c r="N255" s="233"/>
      <c r="O255" s="233"/>
      <c r="P255" s="233"/>
      <c r="Q255" s="45"/>
      <c r="R255" s="45"/>
      <c r="S255" s="45"/>
      <c r="T255" s="45"/>
      <c r="U255" s="45"/>
    </row>
    <row r="256" spans="1:21" ht="18.75" hidden="1" x14ac:dyDescent="0.25">
      <c r="A256" s="227"/>
      <c r="B256" s="228"/>
      <c r="C256" s="228"/>
      <c r="D256" s="240" t="s">
        <v>88</v>
      </c>
      <c r="E256" s="229"/>
      <c r="F256" s="229"/>
      <c r="G256" s="230"/>
      <c r="H256" s="241" t="s">
        <v>14</v>
      </c>
      <c r="I256" s="232"/>
      <c r="J256" s="232"/>
      <c r="K256" s="233"/>
      <c r="L256" s="233"/>
      <c r="M256" s="233"/>
      <c r="N256" s="233"/>
      <c r="O256" s="233"/>
      <c r="P256" s="233"/>
      <c r="Q256" s="45"/>
      <c r="R256" s="45"/>
      <c r="S256" s="45"/>
      <c r="T256" s="45"/>
      <c r="U256" s="45"/>
    </row>
    <row r="257" spans="1:21" ht="18.75" hidden="1" x14ac:dyDescent="0.25">
      <c r="A257" s="227"/>
      <c r="B257" s="228"/>
      <c r="C257" s="228"/>
      <c r="D257" s="240" t="s">
        <v>106</v>
      </c>
      <c r="E257" s="229"/>
      <c r="F257" s="229"/>
      <c r="G257" s="230"/>
      <c r="H257" s="241" t="s">
        <v>14</v>
      </c>
      <c r="I257" s="232"/>
      <c r="J257" s="232"/>
      <c r="K257" s="233"/>
      <c r="L257" s="233"/>
      <c r="M257" s="233"/>
      <c r="N257" s="233"/>
      <c r="O257" s="233"/>
      <c r="P257" s="233"/>
      <c r="Q257" s="45"/>
      <c r="R257" s="45"/>
      <c r="S257" s="45"/>
      <c r="T257" s="45"/>
      <c r="U257" s="45"/>
    </row>
    <row r="258" spans="1:21" ht="18.75" hidden="1" x14ac:dyDescent="0.25">
      <c r="A258" s="227"/>
      <c r="B258" s="228"/>
      <c r="C258" s="228"/>
      <c r="D258" s="240" t="s">
        <v>107</v>
      </c>
      <c r="E258" s="229"/>
      <c r="F258" s="229"/>
      <c r="G258" s="230"/>
      <c r="H258" s="241" t="s">
        <v>14</v>
      </c>
      <c r="I258" s="232"/>
      <c r="J258" s="232"/>
      <c r="K258" s="233"/>
      <c r="L258" s="233"/>
      <c r="M258" s="233"/>
      <c r="N258" s="233"/>
      <c r="O258" s="233"/>
      <c r="P258" s="233"/>
      <c r="Q258" s="45"/>
      <c r="R258" s="45"/>
      <c r="S258" s="45"/>
      <c r="T258" s="45"/>
      <c r="U258" s="45"/>
    </row>
    <row r="259" spans="1:21" ht="19.5" hidden="1" x14ac:dyDescent="0.3">
      <c r="A259" s="227"/>
      <c r="B259" s="228"/>
      <c r="C259" s="242" t="s">
        <v>18</v>
      </c>
      <c r="D259" s="243" t="s">
        <v>38</v>
      </c>
      <c r="E259" s="229"/>
      <c r="F259" s="229"/>
      <c r="G259" s="230"/>
      <c r="H259" s="230"/>
      <c r="I259" s="232"/>
      <c r="J259" s="232"/>
      <c r="K259" s="233"/>
      <c r="L259" s="233"/>
      <c r="M259" s="233"/>
      <c r="N259" s="233"/>
      <c r="O259" s="233"/>
      <c r="P259" s="233"/>
      <c r="Q259" s="45"/>
      <c r="R259" s="45"/>
      <c r="S259" s="45"/>
      <c r="T259" s="136"/>
      <c r="U259" s="136"/>
    </row>
    <row r="260" spans="1:21" ht="18.75" hidden="1" x14ac:dyDescent="0.25">
      <c r="A260" s="227"/>
      <c r="B260" s="228"/>
      <c r="C260" s="228"/>
      <c r="D260" s="240" t="s">
        <v>108</v>
      </c>
      <c r="E260" s="229"/>
      <c r="F260" s="229"/>
      <c r="G260" s="230"/>
      <c r="H260" s="244" t="s">
        <v>35</v>
      </c>
      <c r="I260" s="232"/>
      <c r="J260" s="232"/>
      <c r="K260" s="233"/>
      <c r="L260" s="233"/>
      <c r="M260" s="233"/>
      <c r="N260" s="233"/>
      <c r="O260" s="233"/>
      <c r="P260" s="233"/>
      <c r="Q260" s="45"/>
      <c r="R260" s="45"/>
      <c r="S260" s="45"/>
      <c r="T260" s="45"/>
      <c r="U260" s="45"/>
    </row>
    <row r="261" spans="1:21" ht="18.75" hidden="1" x14ac:dyDescent="0.25">
      <c r="A261" s="227"/>
      <c r="B261" s="228"/>
      <c r="C261" s="228"/>
      <c r="D261" s="245" t="s">
        <v>43</v>
      </c>
      <c r="E261" s="229"/>
      <c r="F261" s="229"/>
      <c r="G261" s="230"/>
      <c r="H261" s="230"/>
      <c r="I261" s="232"/>
      <c r="J261" s="232"/>
      <c r="K261" s="233"/>
      <c r="L261" s="233"/>
      <c r="M261" s="233"/>
      <c r="N261" s="233"/>
      <c r="O261" s="233"/>
      <c r="P261" s="233"/>
      <c r="Q261" s="45"/>
      <c r="R261" s="45"/>
      <c r="S261" s="45"/>
      <c r="T261" s="136"/>
      <c r="U261" s="136"/>
    </row>
    <row r="262" spans="1:21" ht="18.75" hidden="1" x14ac:dyDescent="0.25">
      <c r="A262" s="227"/>
      <c r="B262" s="228"/>
      <c r="C262" s="228"/>
      <c r="D262" s="228"/>
      <c r="E262" s="246" t="s">
        <v>109</v>
      </c>
      <c r="F262" s="229"/>
      <c r="G262" s="230"/>
      <c r="H262" s="244" t="s">
        <v>35</v>
      </c>
      <c r="I262" s="232"/>
      <c r="J262" s="232"/>
      <c r="K262" s="233"/>
      <c r="L262" s="233"/>
      <c r="M262" s="233"/>
      <c r="N262" s="233"/>
      <c r="O262" s="233"/>
      <c r="P262" s="233"/>
      <c r="Q262" s="45"/>
      <c r="R262" s="45"/>
      <c r="S262" s="45"/>
      <c r="T262" s="45"/>
      <c r="U262" s="45"/>
    </row>
    <row r="263" spans="1:21" ht="18.75" hidden="1" x14ac:dyDescent="0.25">
      <c r="A263" s="227"/>
      <c r="B263" s="228"/>
      <c r="C263" s="228"/>
      <c r="D263" s="228"/>
      <c r="E263" s="246" t="s">
        <v>110</v>
      </c>
      <c r="F263" s="229"/>
      <c r="G263" s="230"/>
      <c r="H263" s="244" t="s">
        <v>61</v>
      </c>
      <c r="I263" s="232"/>
      <c r="J263" s="232"/>
      <c r="K263" s="233"/>
      <c r="L263" s="233"/>
      <c r="M263" s="233"/>
      <c r="N263" s="233"/>
      <c r="O263" s="233"/>
      <c r="P263" s="233"/>
      <c r="Q263" s="45"/>
      <c r="R263" s="45"/>
      <c r="S263" s="45"/>
      <c r="T263" s="45"/>
      <c r="U263" s="45"/>
    </row>
    <row r="264" spans="1:21" ht="19.5" x14ac:dyDescent="0.3">
      <c r="A264" s="195" t="s">
        <v>113</v>
      </c>
      <c r="B264" s="196"/>
      <c r="C264" s="196"/>
      <c r="D264" s="197"/>
      <c r="E264" s="197"/>
      <c r="F264" s="197"/>
      <c r="G264" s="198"/>
      <c r="H264" s="198"/>
      <c r="I264" s="199"/>
      <c r="J264" s="199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201"/>
      <c r="B265" s="202" t="s">
        <v>114</v>
      </c>
      <c r="C265" s="203"/>
      <c r="D265" s="141"/>
      <c r="E265" s="141"/>
      <c r="F265" s="141"/>
      <c r="G265" s="142"/>
      <c r="H265" s="204" t="s">
        <v>35</v>
      </c>
      <c r="I265" s="205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5" s="205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383)</f>
        <v>383</v>
      </c>
      <c r="K265" s="206">
        <f ca="1">IF(I265&gt;0,J265*100/I265,0)</f>
        <v>99.739583333333329</v>
      </c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128"/>
      <c r="B266" s="40"/>
      <c r="C266" s="129" t="s">
        <v>18</v>
      </c>
      <c r="D266" s="130" t="s">
        <v>19</v>
      </c>
      <c r="E266" s="40"/>
      <c r="F266" s="40"/>
      <c r="G266" s="42"/>
      <c r="H266" s="131" t="s">
        <v>14</v>
      </c>
      <c r="I266" s="44"/>
      <c r="J266" s="44"/>
      <c r="K266" s="45"/>
      <c r="L266" s="132">
        <f t="shared" ref="L266:N266" ca="1" si="188">L267+L268</f>
        <v>85000</v>
      </c>
      <c r="M266" s="132">
        <f t="shared" ca="1" si="188"/>
        <v>342100</v>
      </c>
      <c r="N266" s="132">
        <f t="shared" ca="1" si="188"/>
        <v>270455</v>
      </c>
      <c r="O266" s="132">
        <f t="shared" ref="O266:O274" ca="1" si="189">IF(L266&gt;0,N266*100/L266,0)</f>
        <v>318.18235294117648</v>
      </c>
      <c r="P266" s="132">
        <f t="shared" ref="P266:P274" ca="1" si="190">IF(M266&gt;0,N266*100/M266,0)</f>
        <v>79.057293189125986</v>
      </c>
      <c r="Q266" s="132">
        <f t="shared" ref="Q266:S266" ca="1" si="191">Q267+Q268</f>
        <v>875120</v>
      </c>
      <c r="R266" s="132">
        <f t="shared" ca="1" si="191"/>
        <v>836593.5</v>
      </c>
      <c r="S266" s="132">
        <f t="shared" ca="1" si="191"/>
        <v>787009.5</v>
      </c>
      <c r="T266" s="132">
        <f t="shared" ref="T266:T274" ca="1" si="192">IF(Q266&gt;0,S266*100/Q266,0)</f>
        <v>89.931609379285121</v>
      </c>
      <c r="U266" s="132">
        <f t="shared" ref="U266:U274" ca="1" si="193">IF(R266&gt;0,S266*100/R266,0)</f>
        <v>94.073107190051076</v>
      </c>
    </row>
    <row r="267" spans="1:21" ht="18.75" hidden="1" x14ac:dyDescent="0.25">
      <c r="A267" s="128"/>
      <c r="B267" s="40"/>
      <c r="C267" s="40"/>
      <c r="D267" s="40"/>
      <c r="E267" s="47" t="s">
        <v>20</v>
      </c>
      <c r="F267" s="40"/>
      <c r="G267" s="42"/>
      <c r="H267" s="133" t="s">
        <v>14</v>
      </c>
      <c r="I267" s="44"/>
      <c r="J267" s="44"/>
      <c r="K267" s="45"/>
      <c r="L267" s="46">
        <f t="shared" ref="L267:N267" ca="1" si="194">L270+L273</f>
        <v>0</v>
      </c>
      <c r="M267" s="46">
        <f t="shared" ca="1" si="194"/>
        <v>0</v>
      </c>
      <c r="N267" s="46">
        <f t="shared" ca="1" si="194"/>
        <v>0</v>
      </c>
      <c r="O267" s="46">
        <f t="shared" ca="1" si="189"/>
        <v>0</v>
      </c>
      <c r="P267" s="46">
        <f t="shared" ca="1" si="190"/>
        <v>0</v>
      </c>
      <c r="Q267" s="48">
        <f t="shared" ref="Q267:S267" ca="1" si="195">Q270+Q273</f>
        <v>0</v>
      </c>
      <c r="R267" s="48">
        <f t="shared" ca="1" si="195"/>
        <v>0</v>
      </c>
      <c r="S267" s="48">
        <f t="shared" ca="1" si="195"/>
        <v>0</v>
      </c>
      <c r="T267" s="48">
        <f t="shared" ca="1" si="192"/>
        <v>0</v>
      </c>
      <c r="U267" s="48">
        <f t="shared" ca="1" si="193"/>
        <v>0</v>
      </c>
    </row>
    <row r="268" spans="1:21" ht="18.75" hidden="1" x14ac:dyDescent="0.25">
      <c r="A268" s="128"/>
      <c r="B268" s="40"/>
      <c r="C268" s="40"/>
      <c r="D268" s="40"/>
      <c r="E268" s="47" t="s">
        <v>21</v>
      </c>
      <c r="F268" s="40"/>
      <c r="G268" s="42"/>
      <c r="H268" s="133" t="s">
        <v>14</v>
      </c>
      <c r="I268" s="44"/>
      <c r="J268" s="44"/>
      <c r="K268" s="45"/>
      <c r="L268" s="46">
        <f t="shared" ref="L268:N268" ca="1" si="196">L271+L274</f>
        <v>85000</v>
      </c>
      <c r="M268" s="46">
        <f t="shared" ca="1" si="196"/>
        <v>342100</v>
      </c>
      <c r="N268" s="46">
        <f t="shared" ca="1" si="196"/>
        <v>270455</v>
      </c>
      <c r="O268" s="46">
        <f t="shared" ca="1" si="189"/>
        <v>318.18235294117648</v>
      </c>
      <c r="P268" s="46">
        <f t="shared" ca="1" si="190"/>
        <v>79.057293189125986</v>
      </c>
      <c r="Q268" s="46">
        <f t="shared" ref="Q268:S268" ca="1" si="197">Q271+Q274</f>
        <v>875120</v>
      </c>
      <c r="R268" s="46">
        <f t="shared" ca="1" si="197"/>
        <v>836593.5</v>
      </c>
      <c r="S268" s="46">
        <f t="shared" ca="1" si="197"/>
        <v>787009.5</v>
      </c>
      <c r="T268" s="46">
        <f t="shared" ca="1" si="192"/>
        <v>89.931609379285121</v>
      </c>
      <c r="U268" s="46">
        <f t="shared" ca="1" si="193"/>
        <v>94.073107190051076</v>
      </c>
    </row>
    <row r="269" spans="1:21" ht="18.75" x14ac:dyDescent="0.25">
      <c r="A269" s="128"/>
      <c r="B269" s="40"/>
      <c r="C269" s="40"/>
      <c r="D269" s="41" t="s">
        <v>22</v>
      </c>
      <c r="E269" s="40"/>
      <c r="F269" s="40"/>
      <c r="G269" s="42"/>
      <c r="H269" s="134" t="s">
        <v>14</v>
      </c>
      <c r="I269" s="135"/>
      <c r="J269" s="135"/>
      <c r="K269" s="136"/>
      <c r="L269" s="46">
        <f t="shared" ref="L269:N269" ca="1" si="198">L270+L271</f>
        <v>85000</v>
      </c>
      <c r="M269" s="46">
        <f t="shared" ca="1" si="198"/>
        <v>342100</v>
      </c>
      <c r="N269" s="46">
        <f t="shared" ca="1" si="198"/>
        <v>270455</v>
      </c>
      <c r="O269" s="46">
        <f t="shared" ca="1" si="189"/>
        <v>318.18235294117648</v>
      </c>
      <c r="P269" s="46">
        <f t="shared" ca="1" si="190"/>
        <v>79.057293189125986</v>
      </c>
      <c r="Q269" s="46">
        <f t="shared" ref="Q269:S269" ca="1" si="199">Q270+Q271</f>
        <v>875120</v>
      </c>
      <c r="R269" s="46">
        <f t="shared" ca="1" si="199"/>
        <v>836593.5</v>
      </c>
      <c r="S269" s="46">
        <f t="shared" ca="1" si="199"/>
        <v>787009.5</v>
      </c>
      <c r="T269" s="46">
        <f t="shared" ca="1" si="192"/>
        <v>89.931609379285121</v>
      </c>
      <c r="U269" s="46">
        <f t="shared" ca="1" si="193"/>
        <v>94.073107190051076</v>
      </c>
    </row>
    <row r="270" spans="1:21" ht="18.75" hidden="1" x14ac:dyDescent="0.25">
      <c r="A270" s="128"/>
      <c r="B270" s="40"/>
      <c r="C270" s="40"/>
      <c r="D270" s="40"/>
      <c r="E270" s="47" t="s">
        <v>36</v>
      </c>
      <c r="F270" s="40"/>
      <c r="G270" s="42"/>
      <c r="H270" s="134" t="s">
        <v>14</v>
      </c>
      <c r="I270" s="135"/>
      <c r="J270" s="135"/>
      <c r="K270" s="136"/>
      <c r="L270" s="46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0" s="46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0" s="46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0" s="46">
        <f t="shared" ca="1" si="189"/>
        <v>0</v>
      </c>
      <c r="P270" s="46">
        <f t="shared" ca="1" si="190"/>
        <v>0</v>
      </c>
      <c r="Q270" s="48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0" s="48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0" s="48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0" s="48">
        <f t="shared" ca="1" si="192"/>
        <v>0</v>
      </c>
      <c r="U270" s="48">
        <f t="shared" ca="1" si="193"/>
        <v>0</v>
      </c>
    </row>
    <row r="271" spans="1:21" ht="18.75" hidden="1" x14ac:dyDescent="0.25">
      <c r="A271" s="128"/>
      <c r="B271" s="40"/>
      <c r="C271" s="40"/>
      <c r="D271" s="40"/>
      <c r="E271" s="47" t="s">
        <v>37</v>
      </c>
      <c r="F271" s="40"/>
      <c r="G271" s="42"/>
      <c r="H271" s="134" t="s">
        <v>14</v>
      </c>
      <c r="I271" s="135"/>
      <c r="J271" s="135"/>
      <c r="K271" s="136"/>
      <c r="L271" s="46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85000)</f>
        <v>85000</v>
      </c>
      <c r="M271" s="46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342100)</f>
        <v>342100</v>
      </c>
      <c r="N271" s="46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270455)</f>
        <v>270455</v>
      </c>
      <c r="O271" s="46">
        <f t="shared" ca="1" si="189"/>
        <v>318.18235294117648</v>
      </c>
      <c r="P271" s="46">
        <f t="shared" ca="1" si="190"/>
        <v>79.057293189125986</v>
      </c>
      <c r="Q271" s="46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1" s="46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836593.5)</f>
        <v>836593.5</v>
      </c>
      <c r="S271" s="46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787009.5)</f>
        <v>787009.5</v>
      </c>
      <c r="T271" s="46">
        <f t="shared" ca="1" si="192"/>
        <v>89.931609379285121</v>
      </c>
      <c r="U271" s="46">
        <f t="shared" ca="1" si="193"/>
        <v>94.073107190051076</v>
      </c>
    </row>
    <row r="272" spans="1:21" ht="18.75" x14ac:dyDescent="0.25">
      <c r="A272" s="128"/>
      <c r="B272" s="40"/>
      <c r="C272" s="40"/>
      <c r="D272" s="41" t="s">
        <v>23</v>
      </c>
      <c r="E272" s="40"/>
      <c r="F272" s="40"/>
      <c r="G272" s="42"/>
      <c r="H272" s="137" t="s">
        <v>14</v>
      </c>
      <c r="I272" s="135"/>
      <c r="J272" s="135"/>
      <c r="K272" s="136"/>
      <c r="L272" s="46">
        <f t="shared" ref="L272:N272" ca="1" si="200">L273+L274</f>
        <v>0</v>
      </c>
      <c r="M272" s="46">
        <f t="shared" ca="1" si="200"/>
        <v>0</v>
      </c>
      <c r="N272" s="46">
        <f t="shared" ca="1" si="200"/>
        <v>0</v>
      </c>
      <c r="O272" s="46">
        <f t="shared" ca="1" si="189"/>
        <v>0</v>
      </c>
      <c r="P272" s="46">
        <f t="shared" ca="1" si="190"/>
        <v>0</v>
      </c>
      <c r="Q272" s="46">
        <f t="shared" ref="Q272:S272" ca="1" si="201">Q273+Q274</f>
        <v>0</v>
      </c>
      <c r="R272" s="46">
        <f t="shared" ca="1" si="201"/>
        <v>0</v>
      </c>
      <c r="S272" s="46">
        <f t="shared" ca="1" si="201"/>
        <v>0</v>
      </c>
      <c r="T272" s="46">
        <f t="shared" ca="1" si="192"/>
        <v>0</v>
      </c>
      <c r="U272" s="46">
        <f t="shared" ca="1" si="193"/>
        <v>0</v>
      </c>
    </row>
    <row r="273" spans="1:21" ht="18.75" hidden="1" x14ac:dyDescent="0.25">
      <c r="A273" s="128"/>
      <c r="B273" s="40"/>
      <c r="C273" s="40"/>
      <c r="D273" s="40"/>
      <c r="E273" s="47" t="s">
        <v>20</v>
      </c>
      <c r="F273" s="40"/>
      <c r="G273" s="42"/>
      <c r="H273" s="134" t="s">
        <v>14</v>
      </c>
      <c r="I273" s="135"/>
      <c r="J273" s="135"/>
      <c r="K273" s="136"/>
      <c r="L273" s="46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3" s="46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3" s="46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3" s="46">
        <f t="shared" ca="1" si="189"/>
        <v>0</v>
      </c>
      <c r="P273" s="46">
        <f t="shared" ca="1" si="190"/>
        <v>0</v>
      </c>
      <c r="Q273" s="48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3" s="48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3" s="48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3" s="48">
        <f t="shared" ca="1" si="192"/>
        <v>0</v>
      </c>
      <c r="U273" s="48">
        <f t="shared" ca="1" si="193"/>
        <v>0</v>
      </c>
    </row>
    <row r="274" spans="1:21" ht="18.75" hidden="1" x14ac:dyDescent="0.25">
      <c r="A274" s="128"/>
      <c r="B274" s="40"/>
      <c r="C274" s="40"/>
      <c r="D274" s="40"/>
      <c r="E274" s="47" t="s">
        <v>21</v>
      </c>
      <c r="F274" s="40"/>
      <c r="G274" s="42"/>
      <c r="H274" s="137" t="s">
        <v>14</v>
      </c>
      <c r="I274" s="135"/>
      <c r="J274" s="135"/>
      <c r="K274" s="136"/>
      <c r="L274" s="46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4" s="46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4" s="46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4" s="46">
        <f t="shared" ca="1" si="189"/>
        <v>0</v>
      </c>
      <c r="P274" s="46">
        <f t="shared" ca="1" si="190"/>
        <v>0</v>
      </c>
      <c r="Q274" s="46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4" s="46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4" s="46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4" s="46">
        <f t="shared" ca="1" si="192"/>
        <v>0</v>
      </c>
      <c r="U274" s="46">
        <f t="shared" ca="1" si="193"/>
        <v>0</v>
      </c>
    </row>
    <row r="275" spans="1:21" ht="19.5" x14ac:dyDescent="0.3">
      <c r="A275" s="138"/>
      <c r="B275" s="139"/>
      <c r="C275" s="47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47"/>
      <c r="B276" s="158"/>
      <c r="C276" s="158"/>
      <c r="D276" s="248" t="s">
        <v>115</v>
      </c>
      <c r="E276" s="40"/>
      <c r="F276" s="40"/>
      <c r="G276" s="42"/>
      <c r="H276" s="133" t="s">
        <v>35</v>
      </c>
      <c r="I276" s="166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6" s="166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383)</f>
        <v>383</v>
      </c>
      <c r="K276" s="46">
        <f ca="1">IF(I276&gt;0,J276*100/I276,0)</f>
        <v>99.739583333333329</v>
      </c>
      <c r="L276" s="4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251" t="s">
        <v>116</v>
      </c>
      <c r="E277" s="252"/>
      <c r="F277" s="252"/>
      <c r="G277" s="253"/>
      <c r="H277" s="53" t="s">
        <v>35</v>
      </c>
      <c r="I277" s="188">
        <v>0</v>
      </c>
      <c r="J277" s="188">
        <v>0</v>
      </c>
      <c r="K277" s="254">
        <v>0</v>
      </c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274">
        <f t="shared" ref="I280:J280" ca="1" si="202">I293</f>
        <v>410</v>
      </c>
      <c r="J280" s="274">
        <f t="shared" ca="1" si="202"/>
        <v>423</v>
      </c>
      <c r="K280" s="275">
        <f t="shared" ref="K280:K281" ca="1" si="203">IF(I280&gt;0,J280*100/I280,0)</f>
        <v>103.17073170731707</v>
      </c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274">
        <f t="shared" ref="I281:J281" ca="1" si="204">I292</f>
        <v>4100</v>
      </c>
      <c r="J281" s="274">
        <f t="shared" ca="1" si="204"/>
        <v>4100</v>
      </c>
      <c r="K281" s="275">
        <f t="shared" ca="1" si="203"/>
        <v>100</v>
      </c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2">
        <f t="shared" ref="L282:N282" ca="1" si="205">L283+L284</f>
        <v>2328140</v>
      </c>
      <c r="M282" s="132">
        <f t="shared" ca="1" si="205"/>
        <v>2485730</v>
      </c>
      <c r="N282" s="132">
        <f t="shared" ca="1" si="205"/>
        <v>2118204.23</v>
      </c>
      <c r="O282" s="132">
        <f t="shared" ref="O282:O290" ca="1" si="206">IF(L282&gt;0,N282*100/L282,0)</f>
        <v>90.982682742446755</v>
      </c>
      <c r="P282" s="132">
        <f t="shared" ref="P282:P290" ca="1" si="207">IF(M282&gt;0,N282*100/M282,0)</f>
        <v>85.214573988325355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47" t="s">
        <v>20</v>
      </c>
      <c r="F283" s="40"/>
      <c r="G283" s="42"/>
      <c r="H283" s="133" t="s">
        <v>14</v>
      </c>
      <c r="I283" s="44"/>
      <c r="J283" s="44"/>
      <c r="K283" s="45"/>
      <c r="L283" s="46">
        <f t="shared" ref="L283:N283" ca="1" si="211">L286+L289</f>
        <v>0</v>
      </c>
      <c r="M283" s="46">
        <f t="shared" ca="1" si="211"/>
        <v>0</v>
      </c>
      <c r="N283" s="46">
        <f t="shared" ca="1" si="211"/>
        <v>0</v>
      </c>
      <c r="O283" s="46">
        <f t="shared" ca="1" si="206"/>
        <v>0</v>
      </c>
      <c r="P283" s="46">
        <f t="shared" ca="1" si="207"/>
        <v>0</v>
      </c>
      <c r="Q283" s="48">
        <f t="shared" ref="Q283:S283" ca="1" si="212">Q286+Q289</f>
        <v>0</v>
      </c>
      <c r="R283" s="48">
        <f t="shared" ca="1" si="212"/>
        <v>0</v>
      </c>
      <c r="S283" s="48">
        <f t="shared" ca="1" si="212"/>
        <v>0</v>
      </c>
      <c r="T283" s="48">
        <f t="shared" ca="1" si="209"/>
        <v>0</v>
      </c>
      <c r="U283" s="48">
        <f t="shared" ca="1" si="210"/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">
        <f t="shared" ref="L284:N284" ca="1" si="213">L287+L290</f>
        <v>2328140</v>
      </c>
      <c r="M284" s="46">
        <f t="shared" ca="1" si="213"/>
        <v>2485730</v>
      </c>
      <c r="N284" s="46">
        <f t="shared" ca="1" si="213"/>
        <v>2118204.23</v>
      </c>
      <c r="O284" s="46">
        <f t="shared" ca="1" si="206"/>
        <v>90.982682742446755</v>
      </c>
      <c r="P284" s="46">
        <f t="shared" ca="1" si="207"/>
        <v>85.214573988325355</v>
      </c>
      <c r="Q284" s="46">
        <f t="shared" ref="Q284:S284" ca="1" si="214">Q287+Q290</f>
        <v>0</v>
      </c>
      <c r="R284" s="46">
        <f t="shared" ca="1" si="214"/>
        <v>0</v>
      </c>
      <c r="S284" s="46">
        <f t="shared" ca="1" si="214"/>
        <v>0</v>
      </c>
      <c r="T284" s="46">
        <f t="shared" ca="1" si="209"/>
        <v>0</v>
      </c>
      <c r="U284" s="46">
        <f t="shared" ca="1" si="210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">
        <f t="shared" ref="L285:N285" ca="1" si="215">L286+L287</f>
        <v>2328140</v>
      </c>
      <c r="M285" s="46">
        <f t="shared" ca="1" si="215"/>
        <v>2485730</v>
      </c>
      <c r="N285" s="46">
        <f t="shared" ca="1" si="215"/>
        <v>2118204.23</v>
      </c>
      <c r="O285" s="46">
        <f t="shared" ca="1" si="206"/>
        <v>90.982682742446755</v>
      </c>
      <c r="P285" s="46">
        <f t="shared" ca="1" si="207"/>
        <v>85.214573988325355</v>
      </c>
      <c r="Q285" s="46">
        <f t="shared" ref="Q285:S285" ca="1" si="216">Q286+Q287</f>
        <v>0</v>
      </c>
      <c r="R285" s="46">
        <f t="shared" ca="1" si="216"/>
        <v>0</v>
      </c>
      <c r="S285" s="46">
        <f t="shared" ca="1" si="216"/>
        <v>0</v>
      </c>
      <c r="T285" s="46">
        <f t="shared" ca="1" si="209"/>
        <v>0</v>
      </c>
      <c r="U285" s="46">
        <f t="shared" ca="1" si="210"/>
        <v>0</v>
      </c>
    </row>
    <row r="286" spans="1:21" ht="18.75" hidden="1" x14ac:dyDescent="0.25">
      <c r="A286" s="128"/>
      <c r="B286" s="40"/>
      <c r="C286" s="40"/>
      <c r="D286" s="40"/>
      <c r="E286" s="47" t="s">
        <v>36</v>
      </c>
      <c r="F286" s="40"/>
      <c r="G286" s="42"/>
      <c r="H286" s="134" t="s">
        <v>14</v>
      </c>
      <c r="I286" s="135"/>
      <c r="J286" s="135"/>
      <c r="K286" s="136"/>
      <c r="L286" s="46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6" s="46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6" s="46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6" s="46">
        <f t="shared" ca="1" si="206"/>
        <v>0</v>
      </c>
      <c r="P286" s="46">
        <f t="shared" ca="1" si="207"/>
        <v>0</v>
      </c>
      <c r="Q286" s="48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6" s="48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6" s="48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6" s="48">
        <f t="shared" ca="1" si="209"/>
        <v>0</v>
      </c>
      <c r="U286" s="48">
        <f t="shared" ca="1" si="210"/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2328140)</f>
        <v>2328140</v>
      </c>
      <c r="M287" s="46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2485730)</f>
        <v>2485730</v>
      </c>
      <c r="N287" s="46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2118204.23)</f>
        <v>2118204.23</v>
      </c>
      <c r="O287" s="46">
        <f t="shared" ca="1" si="206"/>
        <v>90.982682742446755</v>
      </c>
      <c r="P287" s="46">
        <f t="shared" ca="1" si="207"/>
        <v>85.214573988325355</v>
      </c>
      <c r="Q287" s="46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7" s="46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7" s="46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7" s="48">
        <f t="shared" ca="1" si="209"/>
        <v>0</v>
      </c>
      <c r="U287" s="48">
        <f t="shared" ca="1" si="210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">
        <f t="shared" ref="L288:N288" ca="1" si="217">L289+L290</f>
        <v>0</v>
      </c>
      <c r="M288" s="46">
        <f t="shared" ca="1" si="217"/>
        <v>0</v>
      </c>
      <c r="N288" s="46">
        <f t="shared" ca="1" si="217"/>
        <v>0</v>
      </c>
      <c r="O288" s="46">
        <f t="shared" ca="1" si="206"/>
        <v>0</v>
      </c>
      <c r="P288" s="46">
        <f t="shared" ca="1" si="207"/>
        <v>0</v>
      </c>
      <c r="Q288" s="46">
        <f t="shared" ref="Q288:S288" ca="1" si="218">Q289+Q290</f>
        <v>0</v>
      </c>
      <c r="R288" s="46">
        <f t="shared" ca="1" si="218"/>
        <v>0</v>
      </c>
      <c r="S288" s="46">
        <f t="shared" ca="1" si="218"/>
        <v>0</v>
      </c>
      <c r="T288" s="46">
        <f t="shared" ca="1" si="209"/>
        <v>0</v>
      </c>
      <c r="U288" s="46">
        <f t="shared" ca="1" si="210"/>
        <v>0</v>
      </c>
    </row>
    <row r="289" spans="1:21" ht="18.75" hidden="1" x14ac:dyDescent="0.25">
      <c r="A289" s="128"/>
      <c r="B289" s="40"/>
      <c r="C289" s="40"/>
      <c r="D289" s="40"/>
      <c r="E289" s="47" t="s">
        <v>20</v>
      </c>
      <c r="F289" s="40"/>
      <c r="G289" s="42"/>
      <c r="H289" s="134" t="s">
        <v>14</v>
      </c>
      <c r="I289" s="135"/>
      <c r="J289" s="135"/>
      <c r="K289" s="136"/>
      <c r="L289" s="46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89" s="46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89" s="46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89" s="46">
        <f t="shared" ca="1" si="206"/>
        <v>0</v>
      </c>
      <c r="P289" s="46">
        <f t="shared" ca="1" si="207"/>
        <v>0</v>
      </c>
      <c r="Q289" s="48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89" s="48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89" s="48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89" s="48">
        <f t="shared" ca="1" si="209"/>
        <v>0</v>
      </c>
      <c r="U289" s="48">
        <f t="shared" ca="1" si="210"/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0" s="46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0" s="46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0" s="46">
        <f t="shared" ca="1" si="206"/>
        <v>0</v>
      </c>
      <c r="P290" s="46">
        <f t="shared" ca="1" si="207"/>
        <v>0</v>
      </c>
      <c r="Q290" s="46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0" s="46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0" s="46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0" s="46">
        <f t="shared" ca="1" si="209"/>
        <v>0</v>
      </c>
      <c r="U290" s="46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66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2" s="166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4100)</f>
        <v>4100</v>
      </c>
      <c r="K292" s="152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3" s="147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423)</f>
        <v>423</v>
      </c>
      <c r="K293" s="148">
        <f t="shared" ca="1" si="219"/>
        <v>103.17073170731707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13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5" s="151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423)</f>
        <v>423</v>
      </c>
      <c r="K295" s="152">
        <f t="shared" ref="K295:K296" ca="1" si="220">IF(I295&gt;0,J295*100/I295,0)</f>
        <v>103.17073170731707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6" s="151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423)</f>
        <v>423</v>
      </c>
      <c r="K296" s="152">
        <f t="shared" ca="1" si="220"/>
        <v>103.17073170731707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64" t="s">
        <v>125</v>
      </c>
      <c r="F297" s="145"/>
      <c r="G297" s="143"/>
      <c r="H297" s="143"/>
      <c r="I297" s="135"/>
      <c r="J297" s="135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126</v>
      </c>
      <c r="F298" s="145"/>
      <c r="G298" s="143"/>
      <c r="H298" s="150" t="s">
        <v>35</v>
      </c>
      <c r="I298" s="151">
        <f ca="1">IFERROR(__xludf.DUMMYFUNCTION("IMPORTRANGE(""https://docs.google.com/spreadsheets/d/1jTcq05yEiRwXcBMLjiodW9e4biSGYWAHcDj22rKWQ3s/edit?usp=sharing"",""กำแพงเพชร!I298"")+IMPORTRANGE(""https://docs.google.com/spreadsheets/d/1KS0zmDSZPk8KnTAbGN-Xk6MtX1YRZD0ldgdt20K4CRk/edit?usp=sharing"","&amp;"""เชียงราย!I298"")+IMPORTRANGE(""https://docs.google.com/spreadsheets/d/1rEDxBtusbi64tE0zunoIbsTVV16HeL0oJ6trHQeQ7K8/edit?usp=sharing"",""เชียงใหม่!I298"")+IMPORTRANGE(""https://docs.google.com/spreadsheets/d/1W6MnUbDkMi6xHnHko_XkFDO9kkuL6Wqyc-6OCDFjW9I/e"&amp;"dit?usp=sharing"",""ตาก!I298"")+IMPORTRANGE(""https://docs.google.com/spreadsheets/d/1IQAWArduLkta9LpYo4a_ULsyqdta6-6aDDiwpUnQT6c/edit?usp=sharing"",""นครสวรรค์!I298"")+IMPORTRANGE(""https://docs.google.com/spreadsheets/d/10s13Sk5xrltsiR-Zkbmk5DwIaDIKO8Xl"&amp;"bJAfqyT7Gvg/edit?usp=sharing"",""น่าน!I298"")+IMPORTRANGE(""https://docs.google.com/spreadsheets/d/1uu4nAn4Dbi1XREnLKKotUANlKXa7yCgRcgq8HEzQYW8/edit?usp=sharing"",""พะเยา!I298"")+IMPORTRANGE(""https://docs.google.com/spreadsheets/d/1xfJKIQxVOaPDIICqsflNlL"&amp;"u3JacTDk1FP9RH4phX7mI/edit?usp=sharing"",""พิจิตร!I298"")+IMPORTRANGE(""https://docs.google.com/spreadsheets/d/1JtRfZkJMHtEhI5RdRHxYUG4FIZHqKDpNyIuN7A1Q0_k/edit?usp=sharing"",""พิษณุโลก!I298"")+IMPORTRANGE(""https://docs.google.com/spreadsheets/d/1xlcVZWU"&amp;"Nn6SuWm0c307h32SiGkd9BaeQWlAktfD3KO8/edit?usp=sharing"",""เพชรบูรณ์!I298"")+IMPORTRANGE(""https://docs.google.com/spreadsheets/d/1lOVebEIsI9qjGXl6EX66luk7wiuP2tBaryw-wKvv4e0/edit?usp=sharing"",""แพร่!I298"")+IMPORTRANGE(""https://docs.google.com/spreadshe"&amp;"ets/d/1dQrvX0vEcN7Gu0fnZ0B5S90AeR19zth4XlExFBeExMY/edit?usp=sharing"",""แม่ฮ่องสอน!I298"")+IMPORTRANGE(""https://docs.google.com/spreadsheets/d/1DY4XTNNwjluuxqdfdn6qvOSlMRrZqUtmYcZR0ttFiG4/edit?usp=sharing"",""ลำปาง!I298"")+IMPORTRANGE(""https://docs.goog"&amp;"le.com/spreadsheets/d/1ICwG78r0OFT8biBlxnBF8r7she7gNSzOvJ958PWT09c/edit?usp=sharing"",""ลำพูน!I298"")+IMPORTRANGE(""https://docs.google.com/spreadsheets/d/1B0f2xJpZUC6Z0xXnqKlZtEPzsf6L84eP1r1Q15seqRM/edit?usp=sharing"",""สุโขทัย!I298"")+IMPORTRANGE(""http"&amp;"s://docs.google.com/spreadsheets/d/1v0b9pFQCsKUVExMei7AgY2yQkdeNQvtOssygGsXbiKo/edit?usp=sharing"",""อุตรดิตถ์!I298"")+IMPORTRANGE(""https://docs.google.com/spreadsheets/d/1UsNK1e-WWiCo2PvGqdNfdme4m17_Ezd3J69EeeiQPD0/edit?usp=sharing"",""อุทัยธานี!I298"")"),410)</f>
        <v>410</v>
      </c>
      <c r="J298" s="151">
        <f ca="1">IFERROR(__xludf.DUMMYFUNCTION("IMPORTRANGE(""https://docs.google.com/spreadsheets/d/1jTcq05yEiRwXcBMLjiodW9e4biSGYWAHcDj22rKWQ3s/edit?usp=sharing"",""กำแพงเพชร!J298"")+IMPORTRANGE(""https://docs.google.com/spreadsheets/d/1KS0zmDSZPk8KnTAbGN-Xk6MtX1YRZD0ldgdt20K4CRk/edit?usp=sharing"","&amp;"""เชียงราย!J298"")+IMPORTRANGE(""https://docs.google.com/spreadsheets/d/1rEDxBtusbi64tE0zunoIbsTVV16HeL0oJ6trHQeQ7K8/edit?usp=sharing"",""เชียงใหม่!J298"")+IMPORTRANGE(""https://docs.google.com/spreadsheets/d/1W6MnUbDkMi6xHnHko_XkFDO9kkuL6Wqyc-6OCDFjW9I/e"&amp;"dit?usp=sharing"",""ตาก!J298"")+IMPORTRANGE(""https://docs.google.com/spreadsheets/d/1IQAWArduLkta9LpYo4a_ULsyqdta6-6aDDiwpUnQT6c/edit?usp=sharing"",""นครสวรรค์!J298"")+IMPORTRANGE(""https://docs.google.com/spreadsheets/d/10s13Sk5xrltsiR-Zkbmk5DwIaDIKO8Xl"&amp;"bJAfqyT7Gvg/edit?usp=sharing"",""น่าน!J298"")+IMPORTRANGE(""https://docs.google.com/spreadsheets/d/1uu4nAn4Dbi1XREnLKKotUANlKXa7yCgRcgq8HEzQYW8/edit?usp=sharing"",""พะเยา!J298"")+IMPORTRANGE(""https://docs.google.com/spreadsheets/d/1xfJKIQxVOaPDIICqsflNlL"&amp;"u3JacTDk1FP9RH4phX7mI/edit?usp=sharing"",""พิจิตร!J298"")+IMPORTRANGE(""https://docs.google.com/spreadsheets/d/1JtRfZkJMHtEhI5RdRHxYUG4FIZHqKDpNyIuN7A1Q0_k/edit?usp=sharing"",""พิษณุโลก!J298"")+IMPORTRANGE(""https://docs.google.com/spreadsheets/d/1xlcVZWU"&amp;"Nn6SuWm0c307h32SiGkd9BaeQWlAktfD3KO8/edit?usp=sharing"",""เพชรบูรณ์!J298"")+IMPORTRANGE(""https://docs.google.com/spreadsheets/d/1lOVebEIsI9qjGXl6EX66luk7wiuP2tBaryw-wKvv4e0/edit?usp=sharing"",""แพร่!J298"")+IMPORTRANGE(""https://docs.google.com/spreadshe"&amp;"ets/d/1dQrvX0vEcN7Gu0fnZ0B5S90AeR19zth4XlExFBeExMY/edit?usp=sharing"",""แม่ฮ่องสอน!J298"")+IMPORTRANGE(""https://docs.google.com/spreadsheets/d/1DY4XTNNwjluuxqdfdn6qvOSlMRrZqUtmYcZR0ttFiG4/edit?usp=sharing"",""ลำปาง!J298"")+IMPORTRANGE(""https://docs.goog"&amp;"le.com/spreadsheets/d/1ICwG78r0OFT8biBlxnBF8r7she7gNSzOvJ958PWT09c/edit?usp=sharing"",""ลำพูน!J298"")+IMPORTRANGE(""https://docs.google.com/spreadsheets/d/1B0f2xJpZUC6Z0xXnqKlZtEPzsf6L84eP1r1Q15seqRM/edit?usp=sharing"",""สุโขทัย!J298"")+IMPORTRANGE(""http"&amp;"s://docs.google.com/spreadsheets/d/1v0b9pFQCsKUVExMei7AgY2yQkdeNQvtOssygGsXbiKo/edit?usp=sharing"",""อุตรดิตถ์!J298"")+IMPORTRANGE(""https://docs.google.com/spreadsheets/d/1UsNK1e-WWiCo2PvGqdNfdme4m17_Ezd3J69EeeiQPD0/edit?usp=sharing"",""อุทัยธานี!J298"")"),372)</f>
        <v>372</v>
      </c>
      <c r="K298" s="152">
        <f t="shared" ref="K298:K299" ca="1" si="221">IF(I298&gt;0,J298*100/I298,0)</f>
        <v>90.731707317073173</v>
      </c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127</v>
      </c>
      <c r="F299" s="145"/>
      <c r="G299" s="143"/>
      <c r="H299" s="150" t="s">
        <v>35</v>
      </c>
      <c r="I299" s="151">
        <f ca="1">IFERROR(__xludf.DUMMYFUNCTION("IMPORTRANGE(""https://docs.google.com/spreadsheets/d/1jTcq05yEiRwXcBMLjiodW9e4biSGYWAHcDj22rKWQ3s/edit?usp=sharing"",""กำแพงเพชร!I299"")+IMPORTRANGE(""https://docs.google.com/spreadsheets/d/1KS0zmDSZPk8KnTAbGN-Xk6MtX1YRZD0ldgdt20K4CRk/edit?usp=sharing"","&amp;"""เชียงราย!I299"")+IMPORTRANGE(""https://docs.google.com/spreadsheets/d/1rEDxBtusbi64tE0zunoIbsTVV16HeL0oJ6trHQeQ7K8/edit?usp=sharing"",""เชียงใหม่!I299"")+IMPORTRANGE(""https://docs.google.com/spreadsheets/d/1W6MnUbDkMi6xHnHko_XkFDO9kkuL6Wqyc-6OCDFjW9I/e"&amp;"dit?usp=sharing"",""ตาก!I299"")+IMPORTRANGE(""https://docs.google.com/spreadsheets/d/1IQAWArduLkta9LpYo4a_ULsyqdta6-6aDDiwpUnQT6c/edit?usp=sharing"",""นครสวรรค์!I299"")+IMPORTRANGE(""https://docs.google.com/spreadsheets/d/10s13Sk5xrltsiR-Zkbmk5DwIaDIKO8Xl"&amp;"bJAfqyT7Gvg/edit?usp=sharing"",""น่าน!I299"")+IMPORTRANGE(""https://docs.google.com/spreadsheets/d/1uu4nAn4Dbi1XREnLKKotUANlKXa7yCgRcgq8HEzQYW8/edit?usp=sharing"",""พะเยา!I299"")+IMPORTRANGE(""https://docs.google.com/spreadsheets/d/1xfJKIQxVOaPDIICqsflNlL"&amp;"u3JacTDk1FP9RH4phX7mI/edit?usp=sharing"",""พิจิตร!I299"")+IMPORTRANGE(""https://docs.google.com/spreadsheets/d/1JtRfZkJMHtEhI5RdRHxYUG4FIZHqKDpNyIuN7A1Q0_k/edit?usp=sharing"",""พิษณุโลก!I299"")+IMPORTRANGE(""https://docs.google.com/spreadsheets/d/1xlcVZWU"&amp;"Nn6SuWm0c307h32SiGkd9BaeQWlAktfD3KO8/edit?usp=sharing"",""เพชรบูรณ์!I299"")+IMPORTRANGE(""https://docs.google.com/spreadsheets/d/1lOVebEIsI9qjGXl6EX66luk7wiuP2tBaryw-wKvv4e0/edit?usp=sharing"",""แพร่!I299"")+IMPORTRANGE(""https://docs.google.com/spreadshe"&amp;"ets/d/1dQrvX0vEcN7Gu0fnZ0B5S90AeR19zth4XlExFBeExMY/edit?usp=sharing"",""แม่ฮ่องสอน!I299"")+IMPORTRANGE(""https://docs.google.com/spreadsheets/d/1DY4XTNNwjluuxqdfdn6qvOSlMRrZqUtmYcZR0ttFiG4/edit?usp=sharing"",""ลำปาง!I299"")+IMPORTRANGE(""https://docs.goog"&amp;"le.com/spreadsheets/d/1ICwG78r0OFT8biBlxnBF8r7she7gNSzOvJ958PWT09c/edit?usp=sharing"",""ลำพูน!I299"")+IMPORTRANGE(""https://docs.google.com/spreadsheets/d/1B0f2xJpZUC6Z0xXnqKlZtEPzsf6L84eP1r1Q15seqRM/edit?usp=sharing"",""สุโขทัย!I299"")+IMPORTRANGE(""http"&amp;"s://docs.google.com/spreadsheets/d/1v0b9pFQCsKUVExMei7AgY2yQkdeNQvtOssygGsXbiKo/edit?usp=sharing"",""อุตรดิตถ์!I299"")+IMPORTRANGE(""https://docs.google.com/spreadsheets/d/1UsNK1e-WWiCo2PvGqdNfdme4m17_Ezd3J69EeeiQPD0/edit?usp=sharing"",""อุทัยธานี!I299"")"),410)</f>
        <v>410</v>
      </c>
      <c r="J299" s="151">
        <f ca="1">IFERROR(__xludf.DUMMYFUNCTION("IMPORTRANGE(""https://docs.google.com/spreadsheets/d/1jTcq05yEiRwXcBMLjiodW9e4biSGYWAHcDj22rKWQ3s/edit?usp=sharing"",""กำแพงเพชร!J299"")+IMPORTRANGE(""https://docs.google.com/spreadsheets/d/1KS0zmDSZPk8KnTAbGN-Xk6MtX1YRZD0ldgdt20K4CRk/edit?usp=sharing"","&amp;"""เชียงราย!J299"")+IMPORTRANGE(""https://docs.google.com/spreadsheets/d/1rEDxBtusbi64tE0zunoIbsTVV16HeL0oJ6trHQeQ7K8/edit?usp=sharing"",""เชียงใหม่!J299"")+IMPORTRANGE(""https://docs.google.com/spreadsheets/d/1W6MnUbDkMi6xHnHko_XkFDO9kkuL6Wqyc-6OCDFjW9I/e"&amp;"dit?usp=sharing"",""ตาก!J299"")+IMPORTRANGE(""https://docs.google.com/spreadsheets/d/1IQAWArduLkta9LpYo4a_ULsyqdta6-6aDDiwpUnQT6c/edit?usp=sharing"",""นครสวรรค์!J299"")+IMPORTRANGE(""https://docs.google.com/spreadsheets/d/10s13Sk5xrltsiR-Zkbmk5DwIaDIKO8Xl"&amp;"bJAfqyT7Gvg/edit?usp=sharing"",""น่าน!J299"")+IMPORTRANGE(""https://docs.google.com/spreadsheets/d/1uu4nAn4Dbi1XREnLKKotUANlKXa7yCgRcgq8HEzQYW8/edit?usp=sharing"",""พะเยา!J299"")+IMPORTRANGE(""https://docs.google.com/spreadsheets/d/1xfJKIQxVOaPDIICqsflNlL"&amp;"u3JacTDk1FP9RH4phX7mI/edit?usp=sharing"",""พิจิตร!J299"")+IMPORTRANGE(""https://docs.google.com/spreadsheets/d/1JtRfZkJMHtEhI5RdRHxYUG4FIZHqKDpNyIuN7A1Q0_k/edit?usp=sharing"",""พิษณุโลก!J299"")+IMPORTRANGE(""https://docs.google.com/spreadsheets/d/1xlcVZWU"&amp;"Nn6SuWm0c307h32SiGkd9BaeQWlAktfD3KO8/edit?usp=sharing"",""เพชรบูรณ์!J299"")+IMPORTRANGE(""https://docs.google.com/spreadsheets/d/1lOVebEIsI9qjGXl6EX66luk7wiuP2tBaryw-wKvv4e0/edit?usp=sharing"",""แพร่!J299"")+IMPORTRANGE(""https://docs.google.com/spreadshe"&amp;"ets/d/1dQrvX0vEcN7Gu0fnZ0B5S90AeR19zth4XlExFBeExMY/edit?usp=sharing"",""แม่ฮ่องสอน!J299"")+IMPORTRANGE(""https://docs.google.com/spreadsheets/d/1DY4XTNNwjluuxqdfdn6qvOSlMRrZqUtmYcZR0ttFiG4/edit?usp=sharing"",""ลำปาง!J299"")+IMPORTRANGE(""https://docs.goog"&amp;"le.com/spreadsheets/d/1ICwG78r0OFT8biBlxnBF8r7she7gNSzOvJ958PWT09c/edit?usp=sharing"",""ลำพูน!J299"")+IMPORTRANGE(""https://docs.google.com/spreadsheets/d/1B0f2xJpZUC6Z0xXnqKlZtEPzsf6L84eP1r1Q15seqRM/edit?usp=sharing"",""สุโขทัย!J299"")+IMPORTRANGE(""http"&amp;"s://docs.google.com/spreadsheets/d/1v0b9pFQCsKUVExMei7AgY2yQkdeNQvtOssygGsXbiKo/edit?usp=sharing"",""อุตรดิตถ์!J299"")+IMPORTRANGE(""https://docs.google.com/spreadsheets/d/1UsNK1e-WWiCo2PvGqdNfdme4m17_Ezd3J69EeeiQPD0/edit?usp=sharing"",""อุทัยธานี!J299"")"),372)</f>
        <v>372</v>
      </c>
      <c r="K299" s="152">
        <f t="shared" ca="1" si="221"/>
        <v>90.731707317073173</v>
      </c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277" t="s">
        <v>128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288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294">
        <f t="shared" ref="I302:J302" ca="1" si="222">I314</f>
        <v>435</v>
      </c>
      <c r="J302" s="294">
        <f t="shared" ca="1" si="222"/>
        <v>435</v>
      </c>
      <c r="K302" s="295">
        <f ca="1">IF(I302&gt;0,J302*100/I302,0)</f>
        <v>100</v>
      </c>
      <c r="L302" s="296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129" t="s">
        <v>18</v>
      </c>
      <c r="D303" s="13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2">
        <f t="shared" ref="L303:N303" ca="1" si="223">L304+L305</f>
        <v>2212000</v>
      </c>
      <c r="M303" s="132">
        <f t="shared" ca="1" si="223"/>
        <v>2346800</v>
      </c>
      <c r="N303" s="132">
        <f t="shared" ca="1" si="223"/>
        <v>2171138.84</v>
      </c>
      <c r="O303" s="132">
        <f t="shared" ref="O303:O311" ca="1" si="224">IF(L303&gt;0,N303*100/L303,0)</f>
        <v>98.152750452079573</v>
      </c>
      <c r="P303" s="132">
        <f t="shared" ref="P303:P311" ca="1" si="225">IF(M303&gt;0,N303*100/M303,0)</f>
        <v>92.514864496335434</v>
      </c>
      <c r="Q303" s="132">
        <f t="shared" ref="Q303:S303" ca="1" si="226">Q304+Q305</f>
        <v>3447352.04</v>
      </c>
      <c r="R303" s="132">
        <f t="shared" ca="1" si="226"/>
        <v>3515209</v>
      </c>
      <c r="S303" s="132">
        <f t="shared" ca="1" si="226"/>
        <v>2493393</v>
      </c>
      <c r="T303" s="132">
        <f t="shared" ref="T303:T311" ca="1" si="227">IF(Q303&gt;0,S303*100/Q303,0)</f>
        <v>72.32777421826637</v>
      </c>
      <c r="U303" s="132">
        <f t="shared" ref="U303:U311" ca="1" si="228">IF(R303&gt;0,S303*100/R303,0)</f>
        <v>70.931571920759197</v>
      </c>
    </row>
    <row r="304" spans="1:21" ht="18.75" hidden="1" x14ac:dyDescent="0.25">
      <c r="A304" s="128"/>
      <c r="B304" s="40"/>
      <c r="C304" s="40"/>
      <c r="D304" s="40"/>
      <c r="E304" s="47" t="s">
        <v>20</v>
      </c>
      <c r="F304" s="40"/>
      <c r="G304" s="42"/>
      <c r="H304" s="133" t="s">
        <v>14</v>
      </c>
      <c r="I304" s="44"/>
      <c r="J304" s="44"/>
      <c r="K304" s="45"/>
      <c r="L304" s="46">
        <f t="shared" ref="L304:N304" ca="1" si="229">L307+L310</f>
        <v>0</v>
      </c>
      <c r="M304" s="46">
        <f t="shared" ca="1" si="229"/>
        <v>0</v>
      </c>
      <c r="N304" s="46">
        <f t="shared" ca="1" si="229"/>
        <v>0</v>
      </c>
      <c r="O304" s="46">
        <f t="shared" ca="1" si="224"/>
        <v>0</v>
      </c>
      <c r="P304" s="46">
        <f t="shared" ca="1" si="225"/>
        <v>0</v>
      </c>
      <c r="Q304" s="48">
        <f t="shared" ref="Q304:S304" ca="1" si="230">Q307+Q310</f>
        <v>0</v>
      </c>
      <c r="R304" s="48">
        <f t="shared" ca="1" si="230"/>
        <v>0</v>
      </c>
      <c r="S304" s="48">
        <f t="shared" ca="1" si="230"/>
        <v>0</v>
      </c>
      <c r="T304" s="48">
        <f t="shared" ca="1" si="227"/>
        <v>0</v>
      </c>
      <c r="U304" s="48">
        <f t="shared" ca="1" si="228"/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">
        <f t="shared" ref="L305:N305" ca="1" si="231">L308+L311</f>
        <v>2212000</v>
      </c>
      <c r="M305" s="46">
        <f t="shared" ca="1" si="231"/>
        <v>2346800</v>
      </c>
      <c r="N305" s="46">
        <f t="shared" ca="1" si="231"/>
        <v>2171138.84</v>
      </c>
      <c r="O305" s="46">
        <f t="shared" ca="1" si="224"/>
        <v>98.152750452079573</v>
      </c>
      <c r="P305" s="46">
        <f t="shared" ca="1" si="225"/>
        <v>92.514864496335434</v>
      </c>
      <c r="Q305" s="46">
        <f t="shared" ref="Q305:S305" ca="1" si="232">Q308+Q311</f>
        <v>3447352.04</v>
      </c>
      <c r="R305" s="46">
        <f t="shared" ca="1" si="232"/>
        <v>3515209</v>
      </c>
      <c r="S305" s="46">
        <f t="shared" ca="1" si="232"/>
        <v>2493393</v>
      </c>
      <c r="T305" s="46">
        <f t="shared" ca="1" si="227"/>
        <v>72.32777421826637</v>
      </c>
      <c r="U305" s="46">
        <f t="shared" ca="1" si="228"/>
        <v>70.931571920759197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">
        <f t="shared" ref="L306:N306" ca="1" si="233">L307+L308</f>
        <v>2212000</v>
      </c>
      <c r="M306" s="46">
        <f t="shared" ca="1" si="233"/>
        <v>2346800</v>
      </c>
      <c r="N306" s="46">
        <f t="shared" ca="1" si="233"/>
        <v>2171138.84</v>
      </c>
      <c r="O306" s="46">
        <f t="shared" ca="1" si="224"/>
        <v>98.152750452079573</v>
      </c>
      <c r="P306" s="46">
        <f t="shared" ca="1" si="225"/>
        <v>92.514864496335434</v>
      </c>
      <c r="Q306" s="46">
        <f t="shared" ref="Q306:S306" ca="1" si="234">Q307+Q308</f>
        <v>3447352.04</v>
      </c>
      <c r="R306" s="46">
        <f t="shared" ca="1" si="234"/>
        <v>3515209</v>
      </c>
      <c r="S306" s="46">
        <f t="shared" ca="1" si="234"/>
        <v>2493393</v>
      </c>
      <c r="T306" s="46">
        <f t="shared" ca="1" si="227"/>
        <v>72.32777421826637</v>
      </c>
      <c r="U306" s="46">
        <f t="shared" ca="1" si="228"/>
        <v>70.931571920759197</v>
      </c>
    </row>
    <row r="307" spans="1:21" ht="18.75" hidden="1" x14ac:dyDescent="0.25">
      <c r="A307" s="128"/>
      <c r="B307" s="40"/>
      <c r="C307" s="40"/>
      <c r="D307" s="40"/>
      <c r="E307" s="47" t="s">
        <v>36</v>
      </c>
      <c r="F307" s="40"/>
      <c r="G307" s="42"/>
      <c r="H307" s="134" t="s">
        <v>14</v>
      </c>
      <c r="I307" s="135"/>
      <c r="J307" s="135"/>
      <c r="K307" s="136"/>
      <c r="L307" s="46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7" s="46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7" s="46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7" s="46">
        <f t="shared" ca="1" si="224"/>
        <v>0</v>
      </c>
      <c r="P307" s="46">
        <f t="shared" ca="1" si="225"/>
        <v>0</v>
      </c>
      <c r="Q307" s="48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7" s="48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7" s="48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7" s="48">
        <f t="shared" ca="1" si="227"/>
        <v>0</v>
      </c>
      <c r="U307" s="48">
        <f t="shared" ca="1" si="228"/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2212000)</f>
        <v>2212000</v>
      </c>
      <c r="M308" s="46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2346800)</f>
        <v>2346800</v>
      </c>
      <c r="N308" s="46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2171138.84)</f>
        <v>2171138.84</v>
      </c>
      <c r="O308" s="46">
        <f t="shared" ca="1" si="224"/>
        <v>98.152750452079573</v>
      </c>
      <c r="P308" s="46">
        <f t="shared" ca="1" si="225"/>
        <v>92.514864496335434</v>
      </c>
      <c r="Q308" s="46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8" s="46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3515209)</f>
        <v>3515209</v>
      </c>
      <c r="S308" s="46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2493393)</f>
        <v>2493393</v>
      </c>
      <c r="T308" s="46">
        <f t="shared" ca="1" si="227"/>
        <v>72.32777421826637</v>
      </c>
      <c r="U308" s="46">
        <f t="shared" ca="1" si="228"/>
        <v>70.931571920759197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">
        <f t="shared" ref="L309:N309" ca="1" si="235">L310+L311</f>
        <v>0</v>
      </c>
      <c r="M309" s="46">
        <f t="shared" ca="1" si="235"/>
        <v>0</v>
      </c>
      <c r="N309" s="46">
        <f t="shared" ca="1" si="235"/>
        <v>0</v>
      </c>
      <c r="O309" s="46">
        <f t="shared" ca="1" si="224"/>
        <v>0</v>
      </c>
      <c r="P309" s="46">
        <f t="shared" ca="1" si="225"/>
        <v>0</v>
      </c>
      <c r="Q309" s="46">
        <f t="shared" ref="Q309:S309" ca="1" si="236">Q310+Q311</f>
        <v>0</v>
      </c>
      <c r="R309" s="46">
        <f t="shared" ca="1" si="236"/>
        <v>0</v>
      </c>
      <c r="S309" s="46">
        <f t="shared" ca="1" si="236"/>
        <v>0</v>
      </c>
      <c r="T309" s="46">
        <f t="shared" ca="1" si="227"/>
        <v>0</v>
      </c>
      <c r="U309" s="46">
        <f t="shared" ca="1" si="228"/>
        <v>0</v>
      </c>
    </row>
    <row r="310" spans="1:21" ht="18.75" hidden="1" x14ac:dyDescent="0.25">
      <c r="A310" s="128"/>
      <c r="B310" s="40"/>
      <c r="C310" s="40"/>
      <c r="D310" s="40"/>
      <c r="E310" s="47" t="s">
        <v>20</v>
      </c>
      <c r="F310" s="40"/>
      <c r="G310" s="42"/>
      <c r="H310" s="134" t="s">
        <v>14</v>
      </c>
      <c r="I310" s="135"/>
      <c r="J310" s="135"/>
      <c r="K310" s="136"/>
      <c r="L310" s="46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0" s="46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0" s="46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0" s="46">
        <f t="shared" ca="1" si="224"/>
        <v>0</v>
      </c>
      <c r="P310" s="46">
        <f t="shared" ca="1" si="225"/>
        <v>0</v>
      </c>
      <c r="Q310" s="48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0" s="48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0" s="48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0" s="48">
        <f t="shared" ca="1" si="227"/>
        <v>0</v>
      </c>
      <c r="U310" s="48">
        <f t="shared" ca="1" si="228"/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1" s="46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1" s="46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1" s="46">
        <f t="shared" ca="1" si="224"/>
        <v>0</v>
      </c>
      <c r="P311" s="46">
        <f t="shared" ca="1" si="225"/>
        <v>0</v>
      </c>
      <c r="Q311" s="46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1" s="46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1" s="46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1" s="46">
        <f t="shared" ca="1" si="227"/>
        <v>0</v>
      </c>
      <c r="U311" s="46">
        <f t="shared" ca="1" si="228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4"/>
      <c r="J312" s="44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38"/>
      <c r="B313" s="139"/>
      <c r="C313" s="139"/>
      <c r="D313" s="149" t="s">
        <v>131</v>
      </c>
      <c r="E313" s="145"/>
      <c r="F313" s="145"/>
      <c r="G313" s="143"/>
      <c r="H313" s="143"/>
      <c r="I313" s="44"/>
      <c r="J313" s="166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3" s="45"/>
      <c r="L313" s="45"/>
      <c r="M313" s="45"/>
      <c r="N313" s="45"/>
      <c r="O313" s="45"/>
      <c r="P313" s="45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66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4" s="166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435)</f>
        <v>435</v>
      </c>
      <c r="K314" s="46">
        <f t="shared" ref="K314:K317" ca="1" si="237">IF(I314&gt;0,J314*100/I314,0)</f>
        <v>100</v>
      </c>
      <c r="L314" s="4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38"/>
      <c r="B315" s="139"/>
      <c r="C315" s="139"/>
      <c r="D315" s="149" t="s">
        <v>132</v>
      </c>
      <c r="E315" s="145"/>
      <c r="F315" s="145"/>
      <c r="G315" s="143"/>
      <c r="H315" s="150" t="s">
        <v>35</v>
      </c>
      <c r="I315" s="166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5" s="166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5" s="46">
        <f t="shared" ca="1" si="237"/>
        <v>0</v>
      </c>
      <c r="L315" s="45"/>
      <c r="M315" s="45"/>
      <c r="N315" s="45"/>
      <c r="O315" s="45"/>
      <c r="P315" s="45"/>
      <c r="Q315" s="21"/>
      <c r="R315" s="21"/>
      <c r="S315" s="21"/>
      <c r="T315" s="21"/>
      <c r="U315" s="21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66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6" s="166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6" s="46">
        <f t="shared" ca="1" si="237"/>
        <v>0</v>
      </c>
      <c r="L316" s="45"/>
      <c r="M316" s="45"/>
      <c r="N316" s="45"/>
      <c r="O316" s="45"/>
      <c r="P316" s="45"/>
      <c r="Q316" s="21"/>
      <c r="R316" s="21"/>
      <c r="S316" s="21"/>
      <c r="T316" s="21"/>
      <c r="U316" s="21"/>
    </row>
    <row r="317" spans="1:21" ht="18.75" x14ac:dyDescent="0.25">
      <c r="A317" s="208"/>
      <c r="B317" s="158"/>
      <c r="C317" s="158"/>
      <c r="D317" s="47" t="s">
        <v>133</v>
      </c>
      <c r="E317" s="40"/>
      <c r="F317" s="40"/>
      <c r="G317" s="42"/>
      <c r="H317" s="43" t="s">
        <v>35</v>
      </c>
      <c r="I317" s="166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7" s="166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7" s="46">
        <f t="shared" ca="1" si="237"/>
        <v>0</v>
      </c>
      <c r="L317" s="45"/>
      <c r="M317" s="45"/>
      <c r="N317" s="45"/>
      <c r="O317" s="45"/>
      <c r="P317" s="45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288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294">
        <f t="shared" ref="I319:J319" ca="1" si="238">I330</f>
        <v>3</v>
      </c>
      <c r="J319" s="294">
        <f t="shared" ca="1" si="238"/>
        <v>3</v>
      </c>
      <c r="K319" s="295">
        <f ca="1">IF(I319&gt;0,J319*100/I319,0)</f>
        <v>100</v>
      </c>
      <c r="L319" s="296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13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2">
        <f t="shared" ref="L320:N320" ca="1" si="239">L321+L322</f>
        <v>125000</v>
      </c>
      <c r="M320" s="132">
        <f t="shared" ca="1" si="239"/>
        <v>192500</v>
      </c>
      <c r="N320" s="132">
        <f t="shared" ca="1" si="239"/>
        <v>165210</v>
      </c>
      <c r="O320" s="132">
        <f t="shared" ref="O320:O328" ca="1" si="240">IF(L320&gt;0,N320*100/L320,0)</f>
        <v>132.16800000000001</v>
      </c>
      <c r="P320" s="132">
        <f t="shared" ref="P320:P328" ca="1" si="241">IF(M320&gt;0,N320*100/M320,0)</f>
        <v>85.823376623376618</v>
      </c>
      <c r="Q320" s="132">
        <f t="shared" ref="Q320:S320" ca="1" si="242">Q321+Q322</f>
        <v>0</v>
      </c>
      <c r="R320" s="132">
        <f t="shared" ca="1" si="242"/>
        <v>0</v>
      </c>
      <c r="S320" s="132">
        <f t="shared" ca="1" si="242"/>
        <v>0</v>
      </c>
      <c r="T320" s="132">
        <f t="shared" ref="T320:T328" ca="1" si="243">IF(Q320&gt;0,S320*100/Q320,0)</f>
        <v>0</v>
      </c>
      <c r="U320" s="132">
        <f t="shared" ref="U320:U328" ca="1" si="244"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47" t="s">
        <v>20</v>
      </c>
      <c r="F321" s="40"/>
      <c r="G321" s="42"/>
      <c r="H321" s="133" t="s">
        <v>14</v>
      </c>
      <c r="I321" s="44"/>
      <c r="J321" s="44"/>
      <c r="K321" s="45"/>
      <c r="L321" s="46">
        <f t="shared" ref="L321:N321" ca="1" si="245">L324+L327</f>
        <v>0</v>
      </c>
      <c r="M321" s="46">
        <f t="shared" ca="1" si="245"/>
        <v>0</v>
      </c>
      <c r="N321" s="46">
        <f t="shared" ca="1" si="245"/>
        <v>0</v>
      </c>
      <c r="O321" s="46">
        <f t="shared" ca="1" si="240"/>
        <v>0</v>
      </c>
      <c r="P321" s="46">
        <f t="shared" ca="1" si="241"/>
        <v>0</v>
      </c>
      <c r="Q321" s="48">
        <f t="shared" ref="Q321:S321" ca="1" si="246">Q324+Q327</f>
        <v>0</v>
      </c>
      <c r="R321" s="48">
        <f t="shared" ca="1" si="246"/>
        <v>0</v>
      </c>
      <c r="S321" s="48">
        <f t="shared" ca="1" si="246"/>
        <v>0</v>
      </c>
      <c r="T321" s="48">
        <f t="shared" ca="1" si="243"/>
        <v>0</v>
      </c>
      <c r="U321" s="48">
        <f t="shared" ca="1" si="244"/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">
        <f t="shared" ref="L322:N322" ca="1" si="247">L325+L328</f>
        <v>125000</v>
      </c>
      <c r="M322" s="46">
        <f t="shared" ca="1" si="247"/>
        <v>192500</v>
      </c>
      <c r="N322" s="46">
        <f t="shared" ca="1" si="247"/>
        <v>165210</v>
      </c>
      <c r="O322" s="46">
        <f t="shared" ca="1" si="240"/>
        <v>132.16800000000001</v>
      </c>
      <c r="P322" s="46">
        <f t="shared" ca="1" si="241"/>
        <v>85.823376623376618</v>
      </c>
      <c r="Q322" s="46">
        <f t="shared" ref="Q322:S322" ca="1" si="248">Q325+Q328</f>
        <v>0</v>
      </c>
      <c r="R322" s="46">
        <f t="shared" ca="1" si="248"/>
        <v>0</v>
      </c>
      <c r="S322" s="46">
        <f t="shared" ca="1" si="248"/>
        <v>0</v>
      </c>
      <c r="T322" s="46">
        <f t="shared" ca="1" si="243"/>
        <v>0</v>
      </c>
      <c r="U322" s="46">
        <f t="shared" ca="1" si="244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">
        <f t="shared" ref="L323:N323" ca="1" si="249">L324+L325</f>
        <v>125000</v>
      </c>
      <c r="M323" s="46">
        <f t="shared" ca="1" si="249"/>
        <v>192500</v>
      </c>
      <c r="N323" s="46">
        <f t="shared" ca="1" si="249"/>
        <v>165210</v>
      </c>
      <c r="O323" s="46">
        <f t="shared" ca="1" si="240"/>
        <v>132.16800000000001</v>
      </c>
      <c r="P323" s="46">
        <f t="shared" ca="1" si="241"/>
        <v>85.823376623376618</v>
      </c>
      <c r="Q323" s="46">
        <f t="shared" ref="Q323:S323" ca="1" si="250">Q324+Q325</f>
        <v>0</v>
      </c>
      <c r="R323" s="46">
        <f t="shared" ca="1" si="250"/>
        <v>0</v>
      </c>
      <c r="S323" s="46">
        <f t="shared" ca="1" si="250"/>
        <v>0</v>
      </c>
      <c r="T323" s="46">
        <f t="shared" ca="1" si="243"/>
        <v>0</v>
      </c>
      <c r="U323" s="46">
        <f t="shared" ca="1" si="244"/>
        <v>0</v>
      </c>
    </row>
    <row r="324" spans="1:21" ht="18.75" hidden="1" x14ac:dyDescent="0.25">
      <c r="A324" s="128"/>
      <c r="B324" s="40"/>
      <c r="C324" s="40"/>
      <c r="D324" s="40"/>
      <c r="E324" s="47" t="s">
        <v>36</v>
      </c>
      <c r="F324" s="40"/>
      <c r="G324" s="42"/>
      <c r="H324" s="134" t="s">
        <v>14</v>
      </c>
      <c r="I324" s="135"/>
      <c r="J324" s="135"/>
      <c r="K324" s="136"/>
      <c r="L324" s="46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4" s="46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4" s="46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4" s="46">
        <f t="shared" ca="1" si="240"/>
        <v>0</v>
      </c>
      <c r="P324" s="46">
        <f t="shared" ca="1" si="241"/>
        <v>0</v>
      </c>
      <c r="Q324" s="48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4" s="48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4" s="48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4" s="48">
        <f t="shared" ca="1" si="243"/>
        <v>0</v>
      </c>
      <c r="U324" s="48">
        <f t="shared" ca="1" si="244"/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125000)</f>
        <v>125000</v>
      </c>
      <c r="M325" s="46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192500)</f>
        <v>192500</v>
      </c>
      <c r="N325" s="46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165210)</f>
        <v>165210</v>
      </c>
      <c r="O325" s="46">
        <f t="shared" ca="1" si="240"/>
        <v>132.16800000000001</v>
      </c>
      <c r="P325" s="46">
        <f t="shared" ca="1" si="241"/>
        <v>85.823376623376618</v>
      </c>
      <c r="Q325" s="46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5" s="46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5" s="46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5" s="46">
        <f t="shared" ca="1" si="243"/>
        <v>0</v>
      </c>
      <c r="U325" s="46">
        <f t="shared" ca="1" si="244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">
        <f t="shared" ref="L326:N326" ca="1" si="251">L327+L328</f>
        <v>0</v>
      </c>
      <c r="M326" s="46">
        <f t="shared" ca="1" si="251"/>
        <v>0</v>
      </c>
      <c r="N326" s="46">
        <f t="shared" ca="1" si="251"/>
        <v>0</v>
      </c>
      <c r="O326" s="46">
        <f t="shared" ca="1" si="240"/>
        <v>0</v>
      </c>
      <c r="P326" s="46">
        <f t="shared" ca="1" si="241"/>
        <v>0</v>
      </c>
      <c r="Q326" s="46">
        <f t="shared" ref="Q326:S326" ca="1" si="252">Q327+Q328</f>
        <v>0</v>
      </c>
      <c r="R326" s="46">
        <f t="shared" ca="1" si="252"/>
        <v>0</v>
      </c>
      <c r="S326" s="46">
        <f t="shared" ca="1" si="252"/>
        <v>0</v>
      </c>
      <c r="T326" s="46">
        <f t="shared" ca="1" si="243"/>
        <v>0</v>
      </c>
      <c r="U326" s="46">
        <f t="shared" ca="1" si="244"/>
        <v>0</v>
      </c>
    </row>
    <row r="327" spans="1:21" ht="18.75" hidden="1" x14ac:dyDescent="0.25">
      <c r="A327" s="128"/>
      <c r="B327" s="40"/>
      <c r="C327" s="40"/>
      <c r="D327" s="40"/>
      <c r="E327" s="47" t="s">
        <v>20</v>
      </c>
      <c r="F327" s="40"/>
      <c r="G327" s="42"/>
      <c r="H327" s="134" t="s">
        <v>14</v>
      </c>
      <c r="I327" s="135"/>
      <c r="J327" s="135"/>
      <c r="K327" s="136"/>
      <c r="L327" s="46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7" s="46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7" s="46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7" s="46">
        <f t="shared" ca="1" si="240"/>
        <v>0</v>
      </c>
      <c r="P327" s="46">
        <f t="shared" ca="1" si="241"/>
        <v>0</v>
      </c>
      <c r="Q327" s="48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7" s="48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7" s="48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7" s="48">
        <f t="shared" ca="1" si="243"/>
        <v>0</v>
      </c>
      <c r="U327" s="48">
        <f t="shared" ca="1" si="244"/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8" s="46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8" s="46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8" s="46">
        <f t="shared" ca="1" si="240"/>
        <v>0</v>
      </c>
      <c r="P328" s="46">
        <f t="shared" ca="1" si="241"/>
        <v>0</v>
      </c>
      <c r="Q328" s="46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8" s="46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8" s="46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8" s="46">
        <f t="shared" ca="1" si="243"/>
        <v>0</v>
      </c>
      <c r="U328" s="46">
        <f t="shared" ca="1" si="244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4"/>
      <c r="K329" s="45"/>
      <c r="L329" s="4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66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3)</f>
        <v>3</v>
      </c>
      <c r="J330" s="166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3)</f>
        <v>3</v>
      </c>
      <c r="K330" s="46">
        <f ca="1">IF(I330&gt;0,J330*100/I330,0)</f>
        <v>100</v>
      </c>
      <c r="L330" s="4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288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294">
        <f ca="1">IFERROR(__xludf.DUMMYFUNCTION("IMPORTRANGE(""https://docs.google.com/spreadsheets/d/1jTcq05yEiRwXcBMLjiodW9e4biSGYWAHcDj22rKWQ3s/edit?usp=sharing"",""กำแพงเพชร!I332"")+IMPORTRANGE(""https://docs.google.com/spreadsheets/d/1KS0zmDSZPk8KnTAbGN-Xk6MtX1YRZD0ldgdt20K4CRk/edit?usp=sharing"","&amp;"""เชียงราย!I332"")+IMPORTRANGE(""https://docs.google.com/spreadsheets/d/1rEDxBtusbi64tE0zunoIbsTVV16HeL0oJ6trHQeQ7K8/edit?usp=sharing"",""เชียงใหม่!I332"")+IMPORTRANGE(""https://docs.google.com/spreadsheets/d/1W6MnUbDkMi6xHnHko_XkFDO9kkuL6Wqyc-6OCDFjW9I/e"&amp;"dit?usp=sharing"",""ตาก!I332"")+IMPORTRANGE(""https://docs.google.com/spreadsheets/d/1IQAWArduLkta9LpYo4a_ULsyqdta6-6aDDiwpUnQT6c/edit?usp=sharing"",""นครสวรรค์!I332"")+IMPORTRANGE(""https://docs.google.com/spreadsheets/d/10s13Sk5xrltsiR-Zkbmk5DwIaDIKO8Xl"&amp;"bJAfqyT7Gvg/edit?usp=sharing"",""น่าน!I332"")+IMPORTRANGE(""https://docs.google.com/spreadsheets/d/1uu4nAn4Dbi1XREnLKKotUANlKXa7yCgRcgq8HEzQYW8/edit?usp=sharing"",""พะเยา!I332"")+IMPORTRANGE(""https://docs.google.com/spreadsheets/d/1xfJKIQxVOaPDIICqsflNlL"&amp;"u3JacTDk1FP9RH4phX7mI/edit?usp=sharing"",""พิจิตร!I332"")+IMPORTRANGE(""https://docs.google.com/spreadsheets/d/1JtRfZkJMHtEhI5RdRHxYUG4FIZHqKDpNyIuN7A1Q0_k/edit?usp=sharing"",""พิษณุโลก!I332"")+IMPORTRANGE(""https://docs.google.com/spreadsheets/d/1xlcVZWU"&amp;"Nn6SuWm0c307h32SiGkd9BaeQWlAktfD3KO8/edit?usp=sharing"",""เพชรบูรณ์!I332"")+IMPORTRANGE(""https://docs.google.com/spreadsheets/d/1lOVebEIsI9qjGXl6EX66luk7wiuP2tBaryw-wKvv4e0/edit?usp=sharing"",""แพร่!I332"")+IMPORTRANGE(""https://docs.google.com/spreadshe"&amp;"ets/d/1dQrvX0vEcN7Gu0fnZ0B5S90AeR19zth4XlExFBeExMY/edit?usp=sharing"",""แม่ฮ่องสอน!I332"")+IMPORTRANGE(""https://docs.google.com/spreadsheets/d/1DY4XTNNwjluuxqdfdn6qvOSlMRrZqUtmYcZR0ttFiG4/edit?usp=sharing"",""ลำปาง!I332"")+IMPORTRANGE(""https://docs.goog"&amp;"le.com/spreadsheets/d/1ICwG78r0OFT8biBlxnBF8r7she7gNSzOvJ958PWT09c/edit?usp=sharing"",""ลำพูน!I332"")+IMPORTRANGE(""https://docs.google.com/spreadsheets/d/1B0f2xJpZUC6Z0xXnqKlZtEPzsf6L84eP1r1Q15seqRM/edit?usp=sharing"",""สุโขทัย!I332"")+IMPORTRANGE(""http"&amp;"s://docs.google.com/spreadsheets/d/1v0b9pFQCsKUVExMei7AgY2yQkdeNQvtOssygGsXbiKo/edit?usp=sharing"",""อุตรดิตถ์!I332"")+IMPORTRANGE(""https://docs.google.com/spreadsheets/d/1UsNK1e-WWiCo2PvGqdNfdme4m17_Ezd3J69EeeiQPD0/edit?usp=sharing"",""อุทัยธานี!I332"")"),46900)</f>
        <v>46900</v>
      </c>
      <c r="J332" s="300">
        <f ca="1">J344+J347+J348+J349+J353+J354</f>
        <v>159927</v>
      </c>
      <c r="K332" s="295">
        <f ca="1">IF(I332&gt;0,J332*100/I332,0)</f>
        <v>340.9957356076759</v>
      </c>
      <c r="L332" s="296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129" t="s">
        <v>18</v>
      </c>
      <c r="D333" s="13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2">
        <f t="shared" ref="L333:N333" ca="1" si="253">L334+L335</f>
        <v>3180000</v>
      </c>
      <c r="M333" s="132">
        <f t="shared" ca="1" si="253"/>
        <v>3180000</v>
      </c>
      <c r="N333" s="132">
        <f t="shared" ca="1" si="253"/>
        <v>2705250.45</v>
      </c>
      <c r="O333" s="132">
        <f t="shared" ref="O333:O341" ca="1" si="254">IF(L333&gt;0,N333*100/L333,0)</f>
        <v>85.070768867924528</v>
      </c>
      <c r="P333" s="132">
        <f t="shared" ref="P333:P341" ca="1" si="255">IF(M333&gt;0,N333*100/M333,0)</f>
        <v>85.070768867924528</v>
      </c>
      <c r="Q333" s="132">
        <f t="shared" ref="Q333:S333" ca="1" si="256">Q334+Q335</f>
        <v>0</v>
      </c>
      <c r="R333" s="132">
        <f t="shared" ca="1" si="256"/>
        <v>0</v>
      </c>
      <c r="S333" s="132">
        <f t="shared" ca="1" si="256"/>
        <v>0</v>
      </c>
      <c r="T333" s="132">
        <f t="shared" ref="T333:T341" ca="1" si="257">IF(Q333&gt;0,S333*100/Q333,0)</f>
        <v>0</v>
      </c>
      <c r="U333" s="132">
        <f t="shared" ref="U333:U341" ca="1" si="258"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47" t="s">
        <v>20</v>
      </c>
      <c r="F334" s="40"/>
      <c r="G334" s="42"/>
      <c r="H334" s="133" t="s">
        <v>14</v>
      </c>
      <c r="I334" s="44"/>
      <c r="J334" s="44"/>
      <c r="K334" s="45"/>
      <c r="L334" s="46">
        <f t="shared" ref="L334:N334" ca="1" si="259">L337+L340</f>
        <v>0</v>
      </c>
      <c r="M334" s="46">
        <f t="shared" ca="1" si="259"/>
        <v>0</v>
      </c>
      <c r="N334" s="46">
        <f t="shared" ca="1" si="259"/>
        <v>0</v>
      </c>
      <c r="O334" s="46">
        <f t="shared" ca="1" si="254"/>
        <v>0</v>
      </c>
      <c r="P334" s="46">
        <f t="shared" ca="1" si="255"/>
        <v>0</v>
      </c>
      <c r="Q334" s="48">
        <f t="shared" ref="Q334:S334" ca="1" si="260">Q337+Q340</f>
        <v>0</v>
      </c>
      <c r="R334" s="48">
        <f t="shared" ca="1" si="260"/>
        <v>0</v>
      </c>
      <c r="S334" s="48">
        <f t="shared" ca="1" si="260"/>
        <v>0</v>
      </c>
      <c r="T334" s="48">
        <f t="shared" ca="1" si="257"/>
        <v>0</v>
      </c>
      <c r="U334" s="48">
        <f t="shared" ca="1" si="258"/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">
        <f t="shared" ref="L335:N335" ca="1" si="261">L338+L341</f>
        <v>3180000</v>
      </c>
      <c r="M335" s="46">
        <f t="shared" ca="1" si="261"/>
        <v>3180000</v>
      </c>
      <c r="N335" s="46">
        <f t="shared" ca="1" si="261"/>
        <v>2705250.45</v>
      </c>
      <c r="O335" s="46">
        <f t="shared" ca="1" si="254"/>
        <v>85.070768867924528</v>
      </c>
      <c r="P335" s="46">
        <f t="shared" ca="1" si="255"/>
        <v>85.070768867924528</v>
      </c>
      <c r="Q335" s="46">
        <f t="shared" ref="Q335:S335" ca="1" si="262">Q338+Q341</f>
        <v>0</v>
      </c>
      <c r="R335" s="46">
        <f t="shared" ca="1" si="262"/>
        <v>0</v>
      </c>
      <c r="S335" s="46">
        <f t="shared" ca="1" si="262"/>
        <v>0</v>
      </c>
      <c r="T335" s="46">
        <f t="shared" ca="1" si="257"/>
        <v>0</v>
      </c>
      <c r="U335" s="46">
        <f t="shared" ca="1" si="258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">
        <f t="shared" ref="L336:N336" ca="1" si="263">L337+L338</f>
        <v>3180000</v>
      </c>
      <c r="M336" s="46">
        <f t="shared" ca="1" si="263"/>
        <v>3180000</v>
      </c>
      <c r="N336" s="46">
        <f t="shared" ca="1" si="263"/>
        <v>2705250.45</v>
      </c>
      <c r="O336" s="46">
        <f t="shared" ca="1" si="254"/>
        <v>85.070768867924528</v>
      </c>
      <c r="P336" s="46">
        <f t="shared" ca="1" si="255"/>
        <v>85.070768867924528</v>
      </c>
      <c r="Q336" s="46">
        <f t="shared" ref="Q336:S336" ca="1" si="264">Q337+Q338</f>
        <v>0</v>
      </c>
      <c r="R336" s="46">
        <f t="shared" ca="1" si="264"/>
        <v>0</v>
      </c>
      <c r="S336" s="46">
        <f t="shared" ca="1" si="264"/>
        <v>0</v>
      </c>
      <c r="T336" s="46">
        <f t="shared" ca="1" si="257"/>
        <v>0</v>
      </c>
      <c r="U336" s="46">
        <f t="shared" ca="1" si="258"/>
        <v>0</v>
      </c>
    </row>
    <row r="337" spans="1:21" ht="18.75" hidden="1" x14ac:dyDescent="0.25">
      <c r="A337" s="128"/>
      <c r="B337" s="40"/>
      <c r="C337" s="40"/>
      <c r="D337" s="40"/>
      <c r="E337" s="47" t="s">
        <v>36</v>
      </c>
      <c r="F337" s="40"/>
      <c r="G337" s="42"/>
      <c r="H337" s="134" t="s">
        <v>14</v>
      </c>
      <c r="I337" s="135"/>
      <c r="J337" s="135"/>
      <c r="K337" s="136"/>
      <c r="L337" s="46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7" s="46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7" s="46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7" s="46">
        <f t="shared" ca="1" si="254"/>
        <v>0</v>
      </c>
      <c r="P337" s="46">
        <f t="shared" ca="1" si="255"/>
        <v>0</v>
      </c>
      <c r="Q337" s="48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7" s="48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7" s="48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7" s="48">
        <f t="shared" ca="1" si="257"/>
        <v>0</v>
      </c>
      <c r="U337" s="48">
        <f t="shared" ca="1" si="258"/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3180000)</f>
        <v>3180000</v>
      </c>
      <c r="M338" s="46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3180000)</f>
        <v>3180000</v>
      </c>
      <c r="N338" s="46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2705250.45)</f>
        <v>2705250.45</v>
      </c>
      <c r="O338" s="46">
        <f t="shared" ca="1" si="254"/>
        <v>85.070768867924528</v>
      </c>
      <c r="P338" s="46">
        <f t="shared" ca="1" si="255"/>
        <v>85.070768867924528</v>
      </c>
      <c r="Q338" s="46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8" s="46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8" s="46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8" s="46">
        <f t="shared" ca="1" si="257"/>
        <v>0</v>
      </c>
      <c r="U338" s="46">
        <f t="shared" ca="1" si="258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">
        <f t="shared" ref="L339:N339" ca="1" si="265">L340+L341</f>
        <v>0</v>
      </c>
      <c r="M339" s="46">
        <f t="shared" ca="1" si="265"/>
        <v>0</v>
      </c>
      <c r="N339" s="46">
        <f t="shared" ca="1" si="265"/>
        <v>0</v>
      </c>
      <c r="O339" s="46">
        <f t="shared" ca="1" si="254"/>
        <v>0</v>
      </c>
      <c r="P339" s="46">
        <f t="shared" ca="1" si="255"/>
        <v>0</v>
      </c>
      <c r="Q339" s="46">
        <f t="shared" ref="Q339:S339" ca="1" si="266">Q340+Q341</f>
        <v>0</v>
      </c>
      <c r="R339" s="46">
        <f t="shared" ca="1" si="266"/>
        <v>0</v>
      </c>
      <c r="S339" s="46">
        <f t="shared" ca="1" si="266"/>
        <v>0</v>
      </c>
      <c r="T339" s="46">
        <f t="shared" ca="1" si="257"/>
        <v>0</v>
      </c>
      <c r="U339" s="46">
        <f t="shared" ca="1" si="258"/>
        <v>0</v>
      </c>
    </row>
    <row r="340" spans="1:21" ht="18.75" hidden="1" x14ac:dyDescent="0.25">
      <c r="A340" s="128"/>
      <c r="B340" s="40"/>
      <c r="C340" s="40"/>
      <c r="D340" s="40"/>
      <c r="E340" s="47" t="s">
        <v>20</v>
      </c>
      <c r="F340" s="40"/>
      <c r="G340" s="42"/>
      <c r="H340" s="134" t="s">
        <v>14</v>
      </c>
      <c r="I340" s="135"/>
      <c r="J340" s="135"/>
      <c r="K340" s="136"/>
      <c r="L340" s="46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0" s="46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0" s="46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0" s="46">
        <f t="shared" ca="1" si="254"/>
        <v>0</v>
      </c>
      <c r="P340" s="46">
        <f t="shared" ca="1" si="255"/>
        <v>0</v>
      </c>
      <c r="Q340" s="48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0" s="48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0" s="48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0" s="48">
        <f t="shared" ca="1" si="257"/>
        <v>0</v>
      </c>
      <c r="U340" s="48">
        <f t="shared" ca="1" si="258"/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1" s="46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1" s="46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1" s="46">
        <f t="shared" ca="1" si="254"/>
        <v>0</v>
      </c>
      <c r="P341" s="46">
        <f t="shared" ca="1" si="255"/>
        <v>0</v>
      </c>
      <c r="Q341" s="46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1" s="46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1" s="46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1" s="46">
        <f t="shared" ca="1" si="257"/>
        <v>0</v>
      </c>
      <c r="U341" s="46">
        <f t="shared" ca="1" si="258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211"/>
      <c r="B343" s="214"/>
      <c r="C343" s="212"/>
      <c r="D343" s="214"/>
      <c r="E343" s="301" t="s">
        <v>140</v>
      </c>
      <c r="F343" s="214"/>
      <c r="G343" s="215"/>
      <c r="H343" s="216" t="s">
        <v>35</v>
      </c>
      <c r="I343" s="302">
        <v>0</v>
      </c>
      <c r="J343" s="217">
        <f ca="1">J344+J347+J348+J349</f>
        <v>61422</v>
      </c>
      <c r="K343" s="303">
        <v>0</v>
      </c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66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0)</f>
        <v>0</v>
      </c>
      <c r="J344" s="166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58219)</f>
        <v>58219</v>
      </c>
      <c r="K344" s="46">
        <f ca="1">IF(I344&gt;0,J344*100/I344,0)</f>
        <v>0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66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107)</f>
        <v>107</v>
      </c>
      <c r="J346" s="166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104)</f>
        <v>104</v>
      </c>
      <c r="K346" s="46">
        <f ca="1">IF(I346&gt;0,J346*100/I346,0)</f>
        <v>97.196261682242991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66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1787)</f>
        <v>1787</v>
      </c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66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1170)</f>
        <v>1170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66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246)</f>
        <v>246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305" t="s">
        <v>148</v>
      </c>
      <c r="F351" s="214"/>
      <c r="G351" s="215"/>
      <c r="H351" s="216" t="s">
        <v>35</v>
      </c>
      <c r="I351" s="302">
        <v>0</v>
      </c>
      <c r="J351" s="217">
        <f ca="1">J352+J353+J354</f>
        <v>125683</v>
      </c>
      <c r="K351" s="303">
        <v>0</v>
      </c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66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27178)</f>
        <v>27178</v>
      </c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66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84391)</f>
        <v>84391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jTcq05yEiRwXcBMLjiodW9e4biSGYWAHcDj22rKWQ3s/edit?usp=sharing"",""กำแพงเพชร!J354"")+IMPORTRANGE(""https://docs.google.com/spreadsheets/d/1KS0zmDSZPk8KnTAbGN-Xk6MtX1YRZD0ldgdt20K4CRk/edit?usp=sharing"","&amp;"""เชียงราย!J354"")+IMPORTRANGE(""https://docs.google.com/spreadsheets/d/1rEDxBtusbi64tE0zunoIbsTVV16HeL0oJ6trHQeQ7K8/edit?usp=sharing"",""เชียงใหม่!J354"")+IMPORTRANGE(""https://docs.google.com/spreadsheets/d/1W6MnUbDkMi6xHnHko_XkFDO9kkuL6Wqyc-6OCDFjW9I/e"&amp;"dit?usp=sharing"",""ตาก!J354"")+IMPORTRANGE(""https://docs.google.com/spreadsheets/d/1IQAWArduLkta9LpYo4a_ULsyqdta6-6aDDiwpUnQT6c/edit?usp=sharing"",""นครสวรรค์!J354"")+IMPORTRANGE(""https://docs.google.com/spreadsheets/d/10s13Sk5xrltsiR-Zkbmk5DwIaDIKO8Xl"&amp;"bJAfqyT7Gvg/edit?usp=sharing"",""น่าน!J354"")+IMPORTRANGE(""https://docs.google.com/spreadsheets/d/1uu4nAn4Dbi1XREnLKKotUANlKXa7yCgRcgq8HEzQYW8/edit?usp=sharing"",""พะเยา!J354"")+IMPORTRANGE(""https://docs.google.com/spreadsheets/d/1xfJKIQxVOaPDIICqsflNlL"&amp;"u3JacTDk1FP9RH4phX7mI/edit?usp=sharing"",""พิจิตร!J354"")+IMPORTRANGE(""https://docs.google.com/spreadsheets/d/1JtRfZkJMHtEhI5RdRHxYUG4FIZHqKDpNyIuN7A1Q0_k/edit?usp=sharing"",""พิษณุโลก!J354"")+IMPORTRANGE(""https://docs.google.com/spreadsheets/d/1xlcVZWU"&amp;"Nn6SuWm0c307h32SiGkd9BaeQWlAktfD3KO8/edit?usp=sharing"",""เพชรบูรณ์!J354"")+IMPORTRANGE(""https://docs.google.com/spreadsheets/d/1lOVebEIsI9qjGXl6EX66luk7wiuP2tBaryw-wKvv4e0/edit?usp=sharing"",""แพร่!J354"")+IMPORTRANGE(""https://docs.google.com/spreadshe"&amp;"ets/d/1dQrvX0vEcN7Gu0fnZ0B5S90AeR19zth4XlExFBeExMY/edit?usp=sharing"",""แม่ฮ่องสอน!J354"")+IMPORTRANGE(""https://docs.google.com/spreadsheets/d/1DY4XTNNwjluuxqdfdn6qvOSlMRrZqUtmYcZR0ttFiG4/edit?usp=sharing"",""ลำปาง!J354"")+IMPORTRANGE(""https://docs.goog"&amp;"le.com/spreadsheets/d/1ICwG78r0OFT8biBlxnBF8r7she7gNSzOvJ958PWT09c/edit?usp=sharing"",""ลำพูน!J354"")+IMPORTRANGE(""https://docs.google.com/spreadsheets/d/1B0f2xJpZUC6Z0xXnqKlZtEPzsf6L84eP1r1Q15seqRM/edit?usp=sharing"",""สุโขทัย!J354"")+IMPORTRANGE(""http"&amp;"s://docs.google.com/spreadsheets/d/1v0b9pFQCsKUVExMei7AgY2yQkdeNQvtOssygGsXbiKo/edit?usp=sharing"",""อุตรดิตถ์!J354"")+IMPORTRANGE(""https://docs.google.com/spreadsheets/d/1UsNK1e-WWiCo2PvGqdNfdme4m17_Ezd3J69EeeiQPD0/edit?usp=sharing"",""อุทัยธานี!J354"")"),14114)</f>
        <v>14114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296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129" t="s">
        <v>18</v>
      </c>
      <c r="D356" s="13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2">
        <f t="shared" ref="L356:N356" ca="1" si="267">L357+L358</f>
        <v>11718970</v>
      </c>
      <c r="M356" s="132">
        <f t="shared" ca="1" si="267"/>
        <v>14320025</v>
      </c>
      <c r="N356" s="132">
        <f t="shared" ca="1" si="267"/>
        <v>11679006</v>
      </c>
      <c r="O356" s="132">
        <f t="shared" ref="O356:O364" ca="1" si="268">IF(L356&gt;0,N356*100/L356,0)</f>
        <v>99.658980268743761</v>
      </c>
      <c r="P356" s="132">
        <f t="shared" ref="P356:P364" ca="1" si="269">IF(M356&gt;0,N356*100/M356,0)</f>
        <v>81.557162085960044</v>
      </c>
      <c r="Q356" s="132">
        <f t="shared" ref="Q356:S356" ca="1" si="270">Q357+Q358</f>
        <v>0</v>
      </c>
      <c r="R356" s="132">
        <f t="shared" ca="1" si="270"/>
        <v>0</v>
      </c>
      <c r="S356" s="132">
        <f t="shared" ca="1" si="270"/>
        <v>0</v>
      </c>
      <c r="T356" s="132">
        <f t="shared" ref="T356:T364" ca="1" si="271">IF(Q356&gt;0,S356*100/Q356,0)</f>
        <v>0</v>
      </c>
      <c r="U356" s="132">
        <f t="shared" ref="U356:U364" ca="1" si="272"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47" t="s">
        <v>20</v>
      </c>
      <c r="F357" s="40"/>
      <c r="G357" s="42"/>
      <c r="H357" s="133" t="s">
        <v>14</v>
      </c>
      <c r="I357" s="44"/>
      <c r="J357" s="44"/>
      <c r="K357" s="45"/>
      <c r="L357" s="46">
        <f t="shared" ref="L357:N357" ca="1" si="273">L360+L363</f>
        <v>0</v>
      </c>
      <c r="M357" s="46">
        <f t="shared" ca="1" si="273"/>
        <v>0</v>
      </c>
      <c r="N357" s="46">
        <f t="shared" ca="1" si="273"/>
        <v>0</v>
      </c>
      <c r="O357" s="46">
        <f t="shared" ca="1" si="268"/>
        <v>0</v>
      </c>
      <c r="P357" s="46">
        <f t="shared" ca="1" si="269"/>
        <v>0</v>
      </c>
      <c r="Q357" s="48">
        <f t="shared" ref="Q357:S357" ca="1" si="274">Q360+Q363</f>
        <v>0</v>
      </c>
      <c r="R357" s="48">
        <f t="shared" ca="1" si="274"/>
        <v>0</v>
      </c>
      <c r="S357" s="48">
        <f t="shared" ca="1" si="274"/>
        <v>0</v>
      </c>
      <c r="T357" s="48">
        <f t="shared" ca="1" si="271"/>
        <v>0</v>
      </c>
      <c r="U357" s="48">
        <f t="shared" ca="1" si="272"/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">
        <f t="shared" ref="L358:N358" ca="1" si="275">L361+L364</f>
        <v>11718970</v>
      </c>
      <c r="M358" s="46">
        <f t="shared" ca="1" si="275"/>
        <v>14320025</v>
      </c>
      <c r="N358" s="46">
        <f t="shared" ca="1" si="275"/>
        <v>11679006</v>
      </c>
      <c r="O358" s="46">
        <f t="shared" ca="1" si="268"/>
        <v>99.658980268743761</v>
      </c>
      <c r="P358" s="46">
        <f t="shared" ca="1" si="269"/>
        <v>81.557162085960044</v>
      </c>
      <c r="Q358" s="46">
        <f t="shared" ref="Q358:S358" ca="1" si="276">Q361+Q364</f>
        <v>0</v>
      </c>
      <c r="R358" s="46">
        <f t="shared" ca="1" si="276"/>
        <v>0</v>
      </c>
      <c r="S358" s="46">
        <f t="shared" ca="1" si="276"/>
        <v>0</v>
      </c>
      <c r="T358" s="46">
        <f t="shared" ca="1" si="271"/>
        <v>0</v>
      </c>
      <c r="U358" s="46">
        <f t="shared" ca="1" si="272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">
        <f t="shared" ref="L359:N359" ca="1" si="277">L360+L361</f>
        <v>11718970</v>
      </c>
      <c r="M359" s="46">
        <f t="shared" ca="1" si="277"/>
        <v>14320025</v>
      </c>
      <c r="N359" s="46">
        <f t="shared" ca="1" si="277"/>
        <v>11679006</v>
      </c>
      <c r="O359" s="46">
        <f t="shared" ca="1" si="268"/>
        <v>99.658980268743761</v>
      </c>
      <c r="P359" s="46">
        <f t="shared" ca="1" si="269"/>
        <v>81.557162085960044</v>
      </c>
      <c r="Q359" s="46">
        <f t="shared" ref="Q359:S359" ca="1" si="278">Q360+Q361</f>
        <v>0</v>
      </c>
      <c r="R359" s="46">
        <f t="shared" ca="1" si="278"/>
        <v>0</v>
      </c>
      <c r="S359" s="46">
        <f t="shared" ca="1" si="278"/>
        <v>0</v>
      </c>
      <c r="T359" s="46">
        <f t="shared" ca="1" si="271"/>
        <v>0</v>
      </c>
      <c r="U359" s="46">
        <f t="shared" ca="1" si="272"/>
        <v>0</v>
      </c>
    </row>
    <row r="360" spans="1:21" ht="18.75" hidden="1" x14ac:dyDescent="0.25">
      <c r="A360" s="128"/>
      <c r="B360" s="40"/>
      <c r="C360" s="40"/>
      <c r="D360" s="40"/>
      <c r="E360" s="47" t="s">
        <v>36</v>
      </c>
      <c r="F360" s="40"/>
      <c r="G360" s="42"/>
      <c r="H360" s="134" t="s">
        <v>14</v>
      </c>
      <c r="I360" s="135"/>
      <c r="J360" s="135"/>
      <c r="K360" s="136"/>
      <c r="L360" s="46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0" s="46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0" s="46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0" s="46">
        <f t="shared" ca="1" si="268"/>
        <v>0</v>
      </c>
      <c r="P360" s="46">
        <f t="shared" ca="1" si="269"/>
        <v>0</v>
      </c>
      <c r="Q360" s="48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0" s="48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0" s="48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0" s="48">
        <f t="shared" ca="1" si="271"/>
        <v>0</v>
      </c>
      <c r="U360" s="48">
        <f t="shared" ca="1" si="272"/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11718970)</f>
        <v>11718970</v>
      </c>
      <c r="M361" s="46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14320025)</f>
        <v>14320025</v>
      </c>
      <c r="N361" s="46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11679006)</f>
        <v>11679006</v>
      </c>
      <c r="O361" s="46">
        <f t="shared" ca="1" si="268"/>
        <v>99.658980268743761</v>
      </c>
      <c r="P361" s="46">
        <f t="shared" ca="1" si="269"/>
        <v>81.557162085960044</v>
      </c>
      <c r="Q361" s="46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1" s="46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1" s="46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1" s="46">
        <f t="shared" ca="1" si="271"/>
        <v>0</v>
      </c>
      <c r="U361" s="46">
        <f t="shared" ca="1" si="272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">
        <f t="shared" ref="L362:N362" ca="1" si="279">L363+L364</f>
        <v>0</v>
      </c>
      <c r="M362" s="46">
        <f t="shared" ca="1" si="279"/>
        <v>0</v>
      </c>
      <c r="N362" s="46">
        <f t="shared" ca="1" si="279"/>
        <v>0</v>
      </c>
      <c r="O362" s="46">
        <f t="shared" ca="1" si="268"/>
        <v>0</v>
      </c>
      <c r="P362" s="46">
        <f t="shared" ca="1" si="269"/>
        <v>0</v>
      </c>
      <c r="Q362" s="46">
        <f t="shared" ref="Q362:S362" ca="1" si="280">Q363+Q364</f>
        <v>0</v>
      </c>
      <c r="R362" s="46">
        <f t="shared" ca="1" si="280"/>
        <v>0</v>
      </c>
      <c r="S362" s="46">
        <f t="shared" ca="1" si="280"/>
        <v>0</v>
      </c>
      <c r="T362" s="46">
        <f t="shared" ca="1" si="271"/>
        <v>0</v>
      </c>
      <c r="U362" s="46">
        <f t="shared" ca="1" si="272"/>
        <v>0</v>
      </c>
    </row>
    <row r="363" spans="1:21" ht="18.75" hidden="1" x14ac:dyDescent="0.25">
      <c r="A363" s="128"/>
      <c r="B363" s="40"/>
      <c r="C363" s="40"/>
      <c r="D363" s="40"/>
      <c r="E363" s="47" t="s">
        <v>20</v>
      </c>
      <c r="F363" s="40"/>
      <c r="G363" s="42"/>
      <c r="H363" s="134" t="s">
        <v>14</v>
      </c>
      <c r="I363" s="135"/>
      <c r="J363" s="135"/>
      <c r="K363" s="136"/>
      <c r="L363" s="46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3" s="46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3" s="46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3" s="46">
        <f t="shared" ca="1" si="268"/>
        <v>0</v>
      </c>
      <c r="P363" s="46">
        <f t="shared" ca="1" si="269"/>
        <v>0</v>
      </c>
      <c r="Q363" s="48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3" s="48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3" s="48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3" s="48">
        <f t="shared" ca="1" si="271"/>
        <v>0</v>
      </c>
      <c r="U363" s="48">
        <f t="shared" ca="1" si="272"/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4" s="46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4" s="46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4" s="46">
        <f t="shared" ca="1" si="268"/>
        <v>0</v>
      </c>
      <c r="P364" s="46">
        <f t="shared" ca="1" si="269"/>
        <v>0</v>
      </c>
      <c r="Q364" s="46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4" s="46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4" s="46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4" s="46">
        <f t="shared" ca="1" si="271"/>
        <v>0</v>
      </c>
      <c r="U364" s="46">
        <f t="shared" ca="1" si="272"/>
        <v>0</v>
      </c>
    </row>
    <row r="365" spans="1:21" ht="19.5" x14ac:dyDescent="0.3">
      <c r="A365" s="211"/>
      <c r="B365" s="212"/>
      <c r="C365" s="214"/>
      <c r="D365" s="305" t="s">
        <v>153</v>
      </c>
      <c r="E365" s="214"/>
      <c r="F365" s="214"/>
      <c r="G365" s="215"/>
      <c r="H365" s="223" t="s">
        <v>35</v>
      </c>
      <c r="I365" s="217">
        <f t="shared" ref="I365:J365" ca="1" si="281">I371</f>
        <v>9049</v>
      </c>
      <c r="J365" s="217">
        <f t="shared" ca="1" si="281"/>
        <v>8721</v>
      </c>
      <c r="K365" s="218">
        <f ca="1">IF(I365&gt;0,J365*100/I365,0)</f>
        <v>96.37529008730246</v>
      </c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4"/>
      <c r="J366" s="44"/>
      <c r="K366" s="45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66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3307)</f>
        <v>3307</v>
      </c>
      <c r="K367" s="46">
        <f t="shared" ref="K367:K372" si="282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66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20770)</f>
        <v>20770</v>
      </c>
      <c r="J368" s="166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23729.06)</f>
        <v>23729.06</v>
      </c>
      <c r="K368" s="46">
        <f t="shared" ca="1" si="282"/>
        <v>114.24679826673086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66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9049)</f>
        <v>9049</v>
      </c>
      <c r="J369" s="166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9648)</f>
        <v>9648</v>
      </c>
      <c r="K369" s="46">
        <f t="shared" ca="1" si="282"/>
        <v>106.61951596861532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66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98734.15)</f>
        <v>98734.15</v>
      </c>
      <c r="K370" s="46">
        <f t="shared" si="282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66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9049)</f>
        <v>9049</v>
      </c>
      <c r="J371" s="166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8721)</f>
        <v>8721</v>
      </c>
      <c r="K371" s="46">
        <f t="shared" ca="1" si="282"/>
        <v>96.37529008730246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66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91331.7099999999)</f>
        <v>91331.709999999905</v>
      </c>
      <c r="K372" s="46">
        <f t="shared" si="282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297"/>
      <c r="B374" s="318" t="s">
        <v>157</v>
      </c>
      <c r="C374" s="298"/>
      <c r="D374" s="299"/>
      <c r="E374" s="291"/>
      <c r="F374" s="291"/>
      <c r="G374" s="292"/>
      <c r="H374" s="319" t="s">
        <v>46</v>
      </c>
      <c r="I374" s="294">
        <f ca="1">I385</f>
        <v>0</v>
      </c>
      <c r="J374" s="294">
        <f ca="1">J386+J388</f>
        <v>49888.72</v>
      </c>
      <c r="K374" s="295">
        <f ca="1">IF(I374&gt;0,J374*100/I374,0)</f>
        <v>0</v>
      </c>
      <c r="L374" s="296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161" t="s">
        <v>18</v>
      </c>
      <c r="D375" s="320" t="s">
        <v>19</v>
      </c>
      <c r="E375" s="158"/>
      <c r="F375" s="158"/>
      <c r="G375" s="180"/>
      <c r="H375" s="131" t="s">
        <v>14</v>
      </c>
      <c r="I375" s="44"/>
      <c r="J375" s="44"/>
      <c r="K375" s="45"/>
      <c r="L375" s="132">
        <f t="shared" ref="L375:N375" ca="1" si="283">L376+L377</f>
        <v>141000</v>
      </c>
      <c r="M375" s="132">
        <f t="shared" ca="1" si="283"/>
        <v>141000</v>
      </c>
      <c r="N375" s="132">
        <f t="shared" ca="1" si="283"/>
        <v>139607.29999999999</v>
      </c>
      <c r="O375" s="132">
        <f t="shared" ref="O375:O383" ca="1" si="284">IF(L375&gt;0,N375*100/L375,0)</f>
        <v>99.012269503546079</v>
      </c>
      <c r="P375" s="132">
        <f t="shared" ref="P375:P383" ca="1" si="285">IF(M375&gt;0,N375*100/M375,0)</f>
        <v>99.012269503546079</v>
      </c>
      <c r="Q375" s="132">
        <f t="shared" ref="Q375:S375" ca="1" si="286">Q376+Q377</f>
        <v>2437500</v>
      </c>
      <c r="R375" s="132">
        <f t="shared" ca="1" si="286"/>
        <v>2112720</v>
      </c>
      <c r="S375" s="132">
        <f t="shared" ca="1" si="286"/>
        <v>1277860.93</v>
      </c>
      <c r="T375" s="132">
        <f t="shared" ref="T375:T383" ca="1" si="287">IF(Q375&gt;0,S375*100/Q375,0)</f>
        <v>52.425063794871797</v>
      </c>
      <c r="U375" s="132">
        <f t="shared" ref="U375:U383" ca="1" si="288">IF(R375&gt;0,S375*100/R375,0)</f>
        <v>60.484159282820251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8">
        <f t="shared" ref="L376:N376" ca="1" si="289">L379+L382</f>
        <v>0</v>
      </c>
      <c r="M376" s="48">
        <f t="shared" ca="1" si="289"/>
        <v>0</v>
      </c>
      <c r="N376" s="48">
        <f t="shared" ca="1" si="289"/>
        <v>0</v>
      </c>
      <c r="O376" s="48">
        <f t="shared" ca="1" si="284"/>
        <v>0</v>
      </c>
      <c r="P376" s="48">
        <f t="shared" ca="1" si="285"/>
        <v>0</v>
      </c>
      <c r="Q376" s="48">
        <f t="shared" ref="Q376:S376" ca="1" si="290">Q379+Q382</f>
        <v>0</v>
      </c>
      <c r="R376" s="48">
        <f t="shared" ca="1" si="290"/>
        <v>0</v>
      </c>
      <c r="S376" s="48">
        <f t="shared" ca="1" si="290"/>
        <v>0</v>
      </c>
      <c r="T376" s="48">
        <f t="shared" ca="1" si="287"/>
        <v>0</v>
      </c>
      <c r="U376" s="48">
        <f t="shared" ca="1" si="288"/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">
        <f t="shared" ref="L377:N377" ca="1" si="291">L380+L383</f>
        <v>141000</v>
      </c>
      <c r="M377" s="46">
        <f t="shared" ca="1" si="291"/>
        <v>141000</v>
      </c>
      <c r="N377" s="46">
        <f t="shared" ca="1" si="291"/>
        <v>139607.29999999999</v>
      </c>
      <c r="O377" s="46">
        <f t="shared" ca="1" si="284"/>
        <v>99.012269503546079</v>
      </c>
      <c r="P377" s="46">
        <f t="shared" ca="1" si="285"/>
        <v>99.012269503546079</v>
      </c>
      <c r="Q377" s="46">
        <f t="shared" ref="Q377:S377" ca="1" si="292">Q380+Q383</f>
        <v>2437500</v>
      </c>
      <c r="R377" s="46">
        <f t="shared" ca="1" si="292"/>
        <v>2112720</v>
      </c>
      <c r="S377" s="46">
        <f t="shared" ca="1" si="292"/>
        <v>1277860.93</v>
      </c>
      <c r="T377" s="46">
        <f t="shared" ca="1" si="287"/>
        <v>52.425063794871797</v>
      </c>
      <c r="U377" s="46">
        <f t="shared" ca="1" si="288"/>
        <v>60.484159282820251</v>
      </c>
    </row>
    <row r="378" spans="1:21" ht="18.75" x14ac:dyDescent="0.25">
      <c r="A378" s="128"/>
      <c r="B378" s="158"/>
      <c r="C378" s="158"/>
      <c r="D378" s="160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">
        <f t="shared" ref="L378:N378" ca="1" si="293">L379+L380</f>
        <v>141000</v>
      </c>
      <c r="M378" s="46">
        <f t="shared" ca="1" si="293"/>
        <v>141000</v>
      </c>
      <c r="N378" s="46">
        <f t="shared" ca="1" si="293"/>
        <v>139607.29999999999</v>
      </c>
      <c r="O378" s="46">
        <f t="shared" ca="1" si="284"/>
        <v>99.012269503546079</v>
      </c>
      <c r="P378" s="46">
        <f t="shared" ca="1" si="285"/>
        <v>99.012269503546079</v>
      </c>
      <c r="Q378" s="46">
        <f t="shared" ref="Q378:S378" ca="1" si="294">Q379+Q380</f>
        <v>2437500</v>
      </c>
      <c r="R378" s="46">
        <f t="shared" ca="1" si="294"/>
        <v>2112720</v>
      </c>
      <c r="S378" s="46">
        <f t="shared" ca="1" si="294"/>
        <v>1277860.93</v>
      </c>
      <c r="T378" s="46">
        <f t="shared" ca="1" si="287"/>
        <v>52.425063794871797</v>
      </c>
      <c r="U378" s="46">
        <f t="shared" ca="1" si="288"/>
        <v>60.484159282820251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8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79" s="48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79" s="48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79" s="48">
        <f t="shared" ca="1" si="284"/>
        <v>0</v>
      </c>
      <c r="P379" s="48">
        <f t="shared" ca="1" si="285"/>
        <v>0</v>
      </c>
      <c r="Q379" s="48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79" s="48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79" s="48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79" s="48">
        <f t="shared" ca="1" si="287"/>
        <v>0</v>
      </c>
      <c r="U379" s="48">
        <f t="shared" ca="1" si="288"/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141000)</f>
        <v>141000</v>
      </c>
      <c r="M380" s="46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141000)</f>
        <v>141000</v>
      </c>
      <c r="N380" s="46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139607.3)</f>
        <v>139607.29999999999</v>
      </c>
      <c r="O380" s="46">
        <f t="shared" ca="1" si="284"/>
        <v>99.012269503546079</v>
      </c>
      <c r="P380" s="46">
        <f t="shared" ca="1" si="285"/>
        <v>99.012269503546079</v>
      </c>
      <c r="Q380" s="46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0" s="46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2112720)</f>
        <v>2112720</v>
      </c>
      <c r="S380" s="46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1277860.93)</f>
        <v>1277860.93</v>
      </c>
      <c r="T380" s="46">
        <f t="shared" ca="1" si="287"/>
        <v>52.425063794871797</v>
      </c>
      <c r="U380" s="46">
        <f t="shared" ca="1" si="288"/>
        <v>60.484159282820251</v>
      </c>
    </row>
    <row r="381" spans="1:21" ht="18.75" x14ac:dyDescent="0.25">
      <c r="A381" s="128"/>
      <c r="B381" s="158"/>
      <c r="C381" s="158"/>
      <c r="D381" s="160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">
        <f t="shared" ref="L381:N381" ca="1" si="295">L382+L383</f>
        <v>0</v>
      </c>
      <c r="M381" s="46">
        <f t="shared" ca="1" si="295"/>
        <v>0</v>
      </c>
      <c r="N381" s="46">
        <f t="shared" ca="1" si="295"/>
        <v>0</v>
      </c>
      <c r="O381" s="46">
        <f t="shared" ca="1" si="284"/>
        <v>0</v>
      </c>
      <c r="P381" s="46">
        <f t="shared" ca="1" si="285"/>
        <v>0</v>
      </c>
      <c r="Q381" s="46">
        <f t="shared" ref="Q381:S381" ca="1" si="296">Q382+Q383</f>
        <v>0</v>
      </c>
      <c r="R381" s="46">
        <f t="shared" ca="1" si="296"/>
        <v>0</v>
      </c>
      <c r="S381" s="46">
        <f t="shared" ca="1" si="296"/>
        <v>0</v>
      </c>
      <c r="T381" s="46">
        <f t="shared" ca="1" si="287"/>
        <v>0</v>
      </c>
      <c r="U381" s="46">
        <f t="shared" ca="1" si="288"/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8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2" s="48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2" s="48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2" s="48">
        <f t="shared" ca="1" si="284"/>
        <v>0</v>
      </c>
      <c r="P382" s="48">
        <f t="shared" ca="1" si="285"/>
        <v>0</v>
      </c>
      <c r="Q382" s="48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2" s="48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2" s="48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2" s="48">
        <f t="shared" ca="1" si="287"/>
        <v>0</v>
      </c>
      <c r="U382" s="48">
        <f t="shared" ca="1" si="288"/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3" s="46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3" s="46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3" s="46">
        <f t="shared" ca="1" si="284"/>
        <v>0</v>
      </c>
      <c r="P383" s="46">
        <f t="shared" ca="1" si="285"/>
        <v>0</v>
      </c>
      <c r="Q383" s="46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3" s="46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3" s="46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3" s="46">
        <f t="shared" ca="1" si="287"/>
        <v>0</v>
      </c>
      <c r="U383" s="46">
        <f t="shared" ca="1" si="288"/>
        <v>0</v>
      </c>
    </row>
    <row r="384" spans="1:21" ht="19.5" x14ac:dyDescent="0.3">
      <c r="A384" s="138"/>
      <c r="B384" s="139"/>
      <c r="C384" s="161" t="s">
        <v>18</v>
      </c>
      <c r="D384" s="321" t="s">
        <v>38</v>
      </c>
      <c r="E384" s="141"/>
      <c r="F384" s="141"/>
      <c r="G384" s="142"/>
      <c r="H384" s="178"/>
      <c r="I384" s="135"/>
      <c r="J384" s="44"/>
      <c r="K384" s="45"/>
      <c r="L384" s="4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66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5" s="166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2380)</f>
        <v>2380</v>
      </c>
      <c r="K385" s="46">
        <f t="shared" ref="K385:K388" ca="1" si="297">IF(I385&gt;0,J385*100/I385,0)</f>
        <v>0</v>
      </c>
      <c r="L385" s="4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66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6" s="166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24607)</f>
        <v>24607</v>
      </c>
      <c r="K386" s="46">
        <f t="shared" ca="1" si="297"/>
        <v>63.094871794871793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15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323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7" s="323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4175)</f>
        <v>4175</v>
      </c>
      <c r="K387" s="48">
        <f t="shared" ca="1" si="297"/>
        <v>0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323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8" s="323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25281.72)</f>
        <v>25281.72</v>
      </c>
      <c r="K388" s="48">
        <f t="shared" ca="1" si="297"/>
        <v>29.26125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24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327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 t="shared" ref="I391:J391" si="298">I402</f>
        <v>0</v>
      </c>
      <c r="J391" s="315">
        <f t="shared" si="298"/>
        <v>0</v>
      </c>
      <c r="K391" s="295">
        <f>IF(I391&gt;0,J391*100/I391,0)</f>
        <v>0</v>
      </c>
      <c r="L391" s="296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320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2">
        <f t="shared" ref="L392:N392" ca="1" si="299">L393+L394</f>
        <v>0</v>
      </c>
      <c r="M392" s="132">
        <f t="shared" ca="1" si="299"/>
        <v>0</v>
      </c>
      <c r="N392" s="132">
        <f t="shared" ca="1" si="299"/>
        <v>0</v>
      </c>
      <c r="O392" s="132">
        <f t="shared" ref="O392:O400" ca="1" si="300">IF(L392&gt;0,N392*100/L392,0)</f>
        <v>0</v>
      </c>
      <c r="P392" s="132">
        <f t="shared" ref="P392:P400" ca="1" si="301">IF(M392&gt;0,N392*100/M392,0)</f>
        <v>0</v>
      </c>
      <c r="Q392" s="132">
        <f t="shared" ref="Q392:S392" ca="1" si="302">Q393+Q394</f>
        <v>0</v>
      </c>
      <c r="R392" s="132">
        <f t="shared" ca="1" si="302"/>
        <v>0</v>
      </c>
      <c r="S392" s="132">
        <f t="shared" ca="1" si="302"/>
        <v>0</v>
      </c>
      <c r="T392" s="132">
        <f t="shared" ref="T392:T400" ca="1" si="303">IF(Q392&gt;0,S392*100/Q392,0)</f>
        <v>0</v>
      </c>
      <c r="U392" s="132">
        <f t="shared" ref="U392:U400" ca="1" si="304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8">
        <f t="shared" ref="L393:N393" ca="1" si="305">L396+L399</f>
        <v>0</v>
      </c>
      <c r="M393" s="48">
        <f t="shared" ca="1" si="305"/>
        <v>0</v>
      </c>
      <c r="N393" s="48">
        <f t="shared" ca="1" si="305"/>
        <v>0</v>
      </c>
      <c r="O393" s="48">
        <f t="shared" ca="1" si="300"/>
        <v>0</v>
      </c>
      <c r="P393" s="48">
        <f t="shared" ca="1" si="301"/>
        <v>0</v>
      </c>
      <c r="Q393" s="48">
        <f t="shared" ref="Q393:S393" ca="1" si="306">Q396+Q399</f>
        <v>0</v>
      </c>
      <c r="R393" s="48">
        <f t="shared" ca="1" si="306"/>
        <v>0</v>
      </c>
      <c r="S393" s="48">
        <f t="shared" ca="1" si="306"/>
        <v>0</v>
      </c>
      <c r="T393" s="48">
        <f t="shared" ca="1" si="303"/>
        <v>0</v>
      </c>
      <c r="U393" s="48">
        <f t="shared" ca="1" si="304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">
        <f t="shared" ref="L394:N394" ca="1" si="307">L397+L400</f>
        <v>0</v>
      </c>
      <c r="M394" s="46">
        <f t="shared" ca="1" si="307"/>
        <v>0</v>
      </c>
      <c r="N394" s="46">
        <f t="shared" ca="1" si="307"/>
        <v>0</v>
      </c>
      <c r="O394" s="46">
        <f t="shared" ca="1" si="300"/>
        <v>0</v>
      </c>
      <c r="P394" s="46">
        <f t="shared" ca="1" si="301"/>
        <v>0</v>
      </c>
      <c r="Q394" s="46">
        <f t="shared" ref="Q394:S394" ca="1" si="308">Q397+Q400</f>
        <v>0</v>
      </c>
      <c r="R394" s="46">
        <f t="shared" ca="1" si="308"/>
        <v>0</v>
      </c>
      <c r="S394" s="46">
        <f t="shared" ca="1" si="308"/>
        <v>0</v>
      </c>
      <c r="T394" s="46">
        <f t="shared" ca="1" si="303"/>
        <v>0</v>
      </c>
      <c r="U394" s="46">
        <f t="shared" ca="1" si="304"/>
        <v>0</v>
      </c>
    </row>
    <row r="395" spans="1:21" ht="18.75" hidden="1" x14ac:dyDescent="0.25">
      <c r="A395" s="128"/>
      <c r="B395" s="158"/>
      <c r="C395" s="158"/>
      <c r="D395" s="160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">
        <f t="shared" ref="L395:N395" ca="1" si="309">L396+L397</f>
        <v>0</v>
      </c>
      <c r="M395" s="46">
        <f t="shared" ca="1" si="309"/>
        <v>0</v>
      </c>
      <c r="N395" s="46">
        <f t="shared" ca="1" si="309"/>
        <v>0</v>
      </c>
      <c r="O395" s="46">
        <f t="shared" ca="1" si="300"/>
        <v>0</v>
      </c>
      <c r="P395" s="46">
        <f t="shared" ca="1" si="301"/>
        <v>0</v>
      </c>
      <c r="Q395" s="46">
        <f t="shared" ref="Q395:S395" ca="1" si="310">Q396+Q397</f>
        <v>0</v>
      </c>
      <c r="R395" s="46">
        <f t="shared" ca="1" si="310"/>
        <v>0</v>
      </c>
      <c r="S395" s="46">
        <f t="shared" ca="1" si="310"/>
        <v>0</v>
      </c>
      <c r="T395" s="46">
        <f t="shared" ca="1" si="303"/>
        <v>0</v>
      </c>
      <c r="U395" s="46">
        <f t="shared" ca="1" si="304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8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6" s="48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6" s="48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6" s="48">
        <f t="shared" ca="1" si="300"/>
        <v>0</v>
      </c>
      <c r="P396" s="48">
        <f t="shared" ca="1" si="301"/>
        <v>0</v>
      </c>
      <c r="Q396" s="48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6" s="48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6" s="48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6" s="48">
        <f t="shared" ca="1" si="303"/>
        <v>0</v>
      </c>
      <c r="U396" s="48">
        <f t="shared" ca="1" si="304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7" s="46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7" s="46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7" s="46">
        <f t="shared" ca="1" si="300"/>
        <v>0</v>
      </c>
      <c r="P397" s="46">
        <f t="shared" ca="1" si="301"/>
        <v>0</v>
      </c>
      <c r="Q397" s="46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7" s="46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7" s="46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7" s="46">
        <f t="shared" ca="1" si="303"/>
        <v>0</v>
      </c>
      <c r="U397" s="46">
        <f t="shared" ca="1" si="304"/>
        <v>0</v>
      </c>
    </row>
    <row r="398" spans="1:21" ht="18.75" hidden="1" x14ac:dyDescent="0.25">
      <c r="A398" s="128"/>
      <c r="B398" s="158"/>
      <c r="C398" s="158"/>
      <c r="D398" s="160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">
        <f t="shared" ref="L398:N398" ca="1" si="311">L399+L400</f>
        <v>0</v>
      </c>
      <c r="M398" s="46">
        <f t="shared" ca="1" si="311"/>
        <v>0</v>
      </c>
      <c r="N398" s="46">
        <f t="shared" ca="1" si="311"/>
        <v>0</v>
      </c>
      <c r="O398" s="46">
        <f t="shared" ca="1" si="300"/>
        <v>0</v>
      </c>
      <c r="P398" s="46">
        <f t="shared" ca="1" si="301"/>
        <v>0</v>
      </c>
      <c r="Q398" s="46">
        <f t="shared" ref="Q398:S398" ca="1" si="312">Q399+Q400</f>
        <v>0</v>
      </c>
      <c r="R398" s="46">
        <f t="shared" ca="1" si="312"/>
        <v>0</v>
      </c>
      <c r="S398" s="46">
        <f t="shared" ca="1" si="312"/>
        <v>0</v>
      </c>
      <c r="T398" s="46">
        <f t="shared" ca="1" si="303"/>
        <v>0</v>
      </c>
      <c r="U398" s="46">
        <f t="shared" ca="1" si="304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8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399" s="48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399" s="48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399" s="48">
        <f t="shared" ca="1" si="300"/>
        <v>0</v>
      </c>
      <c r="P399" s="48">
        <f t="shared" ca="1" si="301"/>
        <v>0</v>
      </c>
      <c r="Q399" s="48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399" s="48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399" s="48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399" s="48">
        <f t="shared" ca="1" si="303"/>
        <v>0</v>
      </c>
      <c r="U399" s="48">
        <f t="shared" ca="1" si="304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0" s="46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0" s="46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0" s="46">
        <f t="shared" ca="1" si="300"/>
        <v>0</v>
      </c>
      <c r="P400" s="46">
        <f t="shared" ca="1" si="301"/>
        <v>0</v>
      </c>
      <c r="Q400" s="46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0" s="46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0" s="46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0" s="46">
        <f t="shared" ca="1" si="303"/>
        <v>0</v>
      </c>
      <c r="U400" s="46">
        <f t="shared" ca="1" si="304"/>
        <v>0</v>
      </c>
    </row>
    <row r="401" spans="1:21" ht="19.5" hidden="1" x14ac:dyDescent="0.3">
      <c r="A401" s="138"/>
      <c r="B401" s="139"/>
      <c r="C401" s="161" t="s">
        <v>18</v>
      </c>
      <c r="D401" s="321" t="s">
        <v>38</v>
      </c>
      <c r="E401" s="141"/>
      <c r="F401" s="141"/>
      <c r="G401" s="142"/>
      <c r="H401" s="178"/>
      <c r="I401" s="135"/>
      <c r="J401" s="44"/>
      <c r="K401" s="45"/>
      <c r="L401" s="4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24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327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9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294">
        <f t="shared" ref="I412:J412" ca="1" si="313">I423</f>
        <v>751126</v>
      </c>
      <c r="J412" s="294">
        <f t="shared" ca="1" si="313"/>
        <v>95593.152000000002</v>
      </c>
      <c r="K412" s="295">
        <f ca="1">IF(I412&gt;0,J412*100/I412,0)</f>
        <v>12.726646661146065</v>
      </c>
      <c r="L412" s="296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30" t="s">
        <v>18</v>
      </c>
      <c r="D413" s="537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132">
        <f t="shared" ref="L413:N413" ca="1" si="314">L414+L415</f>
        <v>6553650</v>
      </c>
      <c r="M413" s="132">
        <f t="shared" ca="1" si="314"/>
        <v>6640350</v>
      </c>
      <c r="N413" s="132">
        <f t="shared" ca="1" si="314"/>
        <v>3378220.14</v>
      </c>
      <c r="O413" s="132">
        <f t="shared" ref="O413:O421" ca="1" si="315">IF(L413&gt;0,N413*100/L413,0)</f>
        <v>51.547155249364856</v>
      </c>
      <c r="P413" s="132">
        <f t="shared" ref="P413:P421" ca="1" si="316">IF(M413&gt;0,N413*100/M413,0)</f>
        <v>50.874127719171426</v>
      </c>
      <c r="Q413" s="132">
        <f t="shared" ref="Q413:S413" ca="1" si="317">Q414+Q415</f>
        <v>1058490</v>
      </c>
      <c r="R413" s="132">
        <f t="shared" ca="1" si="317"/>
        <v>1058490</v>
      </c>
      <c r="S413" s="132">
        <f t="shared" ca="1" si="317"/>
        <v>573347.19999999995</v>
      </c>
      <c r="T413" s="132">
        <f t="shared" ref="T413:T421" ca="1" si="318">IF(Q413&gt;0,S413*100/Q413,0)</f>
        <v>54.166520231650743</v>
      </c>
      <c r="U413" s="132">
        <f t="shared" ref="U413:U421" ca="1" si="319">IF(R413&gt;0,S413*100/R413,0)</f>
        <v>54.166520231650743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48">
        <f t="shared" ref="L414:N414" ca="1" si="320">L417+L420</f>
        <v>0</v>
      </c>
      <c r="M414" s="48">
        <f t="shared" ca="1" si="320"/>
        <v>0</v>
      </c>
      <c r="N414" s="48">
        <f t="shared" ca="1" si="320"/>
        <v>0</v>
      </c>
      <c r="O414" s="48">
        <f t="shared" ca="1" si="315"/>
        <v>0</v>
      </c>
      <c r="P414" s="48">
        <f t="shared" ca="1" si="316"/>
        <v>0</v>
      </c>
      <c r="Q414" s="48">
        <f t="shared" ref="Q414:S414" ca="1" si="321">Q417+Q420</f>
        <v>0</v>
      </c>
      <c r="R414" s="48">
        <f t="shared" ca="1" si="321"/>
        <v>0</v>
      </c>
      <c r="S414" s="48">
        <f t="shared" ca="1" si="321"/>
        <v>0</v>
      </c>
      <c r="T414" s="48">
        <f t="shared" ca="1" si="318"/>
        <v>0</v>
      </c>
      <c r="U414" s="48">
        <f t="shared" ca="1" si="319"/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46">
        <f t="shared" ref="L415:N415" ca="1" si="322">L418+L421</f>
        <v>6553650</v>
      </c>
      <c r="M415" s="46">
        <f t="shared" ca="1" si="322"/>
        <v>6640350</v>
      </c>
      <c r="N415" s="46">
        <f t="shared" ca="1" si="322"/>
        <v>3378220.14</v>
      </c>
      <c r="O415" s="46">
        <f t="shared" ca="1" si="315"/>
        <v>51.547155249364856</v>
      </c>
      <c r="P415" s="46">
        <f t="shared" ca="1" si="316"/>
        <v>50.874127719171426</v>
      </c>
      <c r="Q415" s="46">
        <f t="shared" ref="Q415:S415" ca="1" si="323">Q418+Q421</f>
        <v>1058490</v>
      </c>
      <c r="R415" s="46">
        <f t="shared" ca="1" si="323"/>
        <v>1058490</v>
      </c>
      <c r="S415" s="46">
        <f t="shared" ca="1" si="323"/>
        <v>573347.19999999995</v>
      </c>
      <c r="T415" s="46">
        <f t="shared" ca="1" si="318"/>
        <v>54.166520231650743</v>
      </c>
      <c r="U415" s="46">
        <f t="shared" ca="1" si="319"/>
        <v>54.166520231650743</v>
      </c>
    </row>
    <row r="416" spans="1:21" ht="19.5" x14ac:dyDescent="0.3">
      <c r="A416" s="128"/>
      <c r="B416" s="158"/>
      <c r="C416" s="158"/>
      <c r="D416" s="320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46">
        <f t="shared" ref="L416:N416" ca="1" si="324">L417+L418</f>
        <v>6553650</v>
      </c>
      <c r="M416" s="46">
        <f t="shared" ca="1" si="324"/>
        <v>6640350</v>
      </c>
      <c r="N416" s="46">
        <f t="shared" ca="1" si="324"/>
        <v>3378220.14</v>
      </c>
      <c r="O416" s="46">
        <f t="shared" ca="1" si="315"/>
        <v>51.547155249364856</v>
      </c>
      <c r="P416" s="46">
        <f t="shared" ca="1" si="316"/>
        <v>50.874127719171426</v>
      </c>
      <c r="Q416" s="46">
        <f t="shared" ref="Q416:S416" ca="1" si="325">Q417+Q418</f>
        <v>1058490</v>
      </c>
      <c r="R416" s="46">
        <f t="shared" ca="1" si="325"/>
        <v>1058490</v>
      </c>
      <c r="S416" s="46">
        <f t="shared" ca="1" si="325"/>
        <v>573347.19999999995</v>
      </c>
      <c r="T416" s="46">
        <f t="shared" ca="1" si="318"/>
        <v>54.166520231650743</v>
      </c>
      <c r="U416" s="46">
        <f t="shared" ca="1" si="319"/>
        <v>54.166520231650743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48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7" s="48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7" s="48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7" s="48">
        <f t="shared" ca="1" si="315"/>
        <v>0</v>
      </c>
      <c r="P417" s="48">
        <f t="shared" ca="1" si="316"/>
        <v>0</v>
      </c>
      <c r="Q417" s="48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7" s="48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7" s="48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7" s="48">
        <f t="shared" ca="1" si="318"/>
        <v>0</v>
      </c>
      <c r="U417" s="48">
        <f t="shared" ca="1" si="319"/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46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6553650)</f>
        <v>6553650</v>
      </c>
      <c r="M418" s="46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6640350)</f>
        <v>6640350</v>
      </c>
      <c r="N418" s="46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3378220.14)</f>
        <v>3378220.14</v>
      </c>
      <c r="O418" s="46">
        <f t="shared" ca="1" si="315"/>
        <v>51.547155249364856</v>
      </c>
      <c r="P418" s="46">
        <f t="shared" ca="1" si="316"/>
        <v>50.874127719171426</v>
      </c>
      <c r="Q418" s="46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1058490)</f>
        <v>1058490</v>
      </c>
      <c r="R418" s="46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1058490)</f>
        <v>1058490</v>
      </c>
      <c r="S418" s="46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573347.2)</f>
        <v>573347.19999999995</v>
      </c>
      <c r="T418" s="46">
        <f t="shared" ca="1" si="318"/>
        <v>54.166520231650743</v>
      </c>
      <c r="U418" s="46">
        <f t="shared" ca="1" si="319"/>
        <v>54.166520231650743</v>
      </c>
    </row>
    <row r="419" spans="1:21" ht="19.5" x14ac:dyDescent="0.3">
      <c r="A419" s="128"/>
      <c r="B419" s="158"/>
      <c r="C419" s="158"/>
      <c r="D419" s="320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">
        <f t="shared" ref="L419:N419" ca="1" si="326">L420+L421</f>
        <v>0</v>
      </c>
      <c r="M419" s="46">
        <f t="shared" ca="1" si="326"/>
        <v>0</v>
      </c>
      <c r="N419" s="46">
        <f t="shared" ca="1" si="326"/>
        <v>0</v>
      </c>
      <c r="O419" s="46">
        <f t="shared" ca="1" si="315"/>
        <v>0</v>
      </c>
      <c r="P419" s="46">
        <f t="shared" ca="1" si="316"/>
        <v>0</v>
      </c>
      <c r="Q419" s="46">
        <f t="shared" ref="Q419:S419" ca="1" si="327">Q420+Q421</f>
        <v>0</v>
      </c>
      <c r="R419" s="46">
        <f t="shared" ca="1" si="327"/>
        <v>0</v>
      </c>
      <c r="S419" s="46">
        <f t="shared" ca="1" si="327"/>
        <v>0</v>
      </c>
      <c r="T419" s="46">
        <f t="shared" ca="1" si="318"/>
        <v>0</v>
      </c>
      <c r="U419" s="46">
        <f t="shared" ca="1" si="319"/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48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0" s="48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0" s="48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0" s="48">
        <f t="shared" ca="1" si="315"/>
        <v>0</v>
      </c>
      <c r="P420" s="48">
        <f t="shared" ca="1" si="316"/>
        <v>0</v>
      </c>
      <c r="Q420" s="48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0" s="48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0" s="48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0" s="48">
        <f t="shared" ca="1" si="318"/>
        <v>0</v>
      </c>
      <c r="U420" s="48">
        <f t="shared" ca="1" si="319"/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1" s="46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1" s="46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1" s="46">
        <f t="shared" ca="1" si="315"/>
        <v>0</v>
      </c>
      <c r="P421" s="46">
        <f t="shared" ca="1" si="316"/>
        <v>0</v>
      </c>
      <c r="Q421" s="46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1" s="46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1" s="46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1" s="46">
        <f t="shared" ca="1" si="318"/>
        <v>0</v>
      </c>
      <c r="U421" s="46">
        <f t="shared" ca="1" si="319"/>
        <v>0</v>
      </c>
    </row>
    <row r="422" spans="1:21" ht="19.5" x14ac:dyDescent="0.3">
      <c r="A422" s="208"/>
      <c r="B422" s="158"/>
      <c r="C422" s="330" t="s">
        <v>18</v>
      </c>
      <c r="D422" s="334" t="s">
        <v>38</v>
      </c>
      <c r="E422" s="158"/>
      <c r="F422" s="158"/>
      <c r="G422" s="180"/>
      <c r="H422" s="180"/>
      <c r="I422" s="44"/>
      <c r="J422" s="44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164</v>
      </c>
      <c r="C423" s="158"/>
      <c r="D423" s="158"/>
      <c r="E423" s="158"/>
      <c r="F423" s="158"/>
      <c r="G423" s="180"/>
      <c r="H423" s="331" t="s">
        <v>46</v>
      </c>
      <c r="I423" s="147">
        <f t="shared" ref="I423:J423" ca="1" si="328">I440</f>
        <v>751126</v>
      </c>
      <c r="J423" s="147">
        <f t="shared" ca="1" si="328"/>
        <v>95593.152000000002</v>
      </c>
      <c r="K423" s="132">
        <f t="shared" ref="K423:K425" ca="1" si="329">IF(I423&gt;0,J423*100/I423,0)</f>
        <v>12.726646661146065</v>
      </c>
      <c r="L423" s="4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147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751126)</f>
        <v>751126</v>
      </c>
      <c r="J424" s="147">
        <f t="shared" ref="J424:J425" ca="1" si="330">J426+J428+J430</f>
        <v>544081.22</v>
      </c>
      <c r="K424" s="132">
        <f t="shared" ca="1" si="329"/>
        <v>72.43541296666605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147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78655)</f>
        <v>78655</v>
      </c>
      <c r="J425" s="147">
        <f t="shared" ca="1" si="330"/>
        <v>58875</v>
      </c>
      <c r="K425" s="132">
        <f t="shared" ca="1" si="329"/>
        <v>74.852202657173734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166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413313.2075)</f>
        <v>413313.20750000002</v>
      </c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166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46954)</f>
        <v>46954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166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103419.3675)</f>
        <v>103419.36749999999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166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8920)</f>
        <v>8920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166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27348.645)</f>
        <v>27348.645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166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3001)</f>
        <v>3001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147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751126)</f>
        <v>751126</v>
      </c>
      <c r="J432" s="147">
        <f t="shared" ref="J432:J433" ca="1" si="331">J434+J436+J438</f>
        <v>279649.54300000001</v>
      </c>
      <c r="K432" s="132">
        <f t="shared" ref="K432:K433" ca="1" si="332">IF(I432&gt;0,J432*100/I432,0)</f>
        <v>37.230710027345616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147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78655)</f>
        <v>78655</v>
      </c>
      <c r="J433" s="147">
        <f t="shared" ca="1" si="331"/>
        <v>34089</v>
      </c>
      <c r="K433" s="132">
        <f t="shared" ca="1" si="332"/>
        <v>43.339902104125613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166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231523.508)</f>
        <v>231523.508</v>
      </c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166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29026)</f>
        <v>29026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166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36583.975)</f>
        <v>36583.974999999999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166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3597)</f>
        <v>3597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166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11542.06)</f>
        <v>11542.06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166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1466)</f>
        <v>1466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147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751126)</f>
        <v>751126</v>
      </c>
      <c r="J440" s="147">
        <f t="shared" ref="J440:J441" ca="1" si="333">J442+J444+J446+J452+J454</f>
        <v>95593.152000000002</v>
      </c>
      <c r="K440" s="132">
        <f t="shared" ref="K440:K441" ca="1" si="334">IF(I440&gt;0,J440*100/I440,0)</f>
        <v>12.726646661146065</v>
      </c>
      <c r="L440" s="4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147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78655)</f>
        <v>78655</v>
      </c>
      <c r="J441" s="147">
        <f t="shared" ca="1" si="333"/>
        <v>14372</v>
      </c>
      <c r="K441" s="132">
        <f t="shared" ca="1" si="334"/>
        <v>18.272201385798741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166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76625)</f>
        <v>76625</v>
      </c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166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12326)</f>
        <v>12326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166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1637)</f>
        <v>1637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166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182)</f>
        <v>182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147">
        <f t="shared" ref="J446:J447" ca="1" si="335">J448+J450</f>
        <v>3794.152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147">
        <f t="shared" ca="1" si="335"/>
        <v>519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166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3697)</f>
        <v>3697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166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504)</f>
        <v>504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166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97.152)</f>
        <v>97.152000000000001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166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15)</f>
        <v>15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166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13537)</f>
        <v>13537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166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1345)</f>
        <v>1345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335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166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181</v>
      </c>
      <c r="C456" s="158"/>
      <c r="D456" s="158"/>
      <c r="E456" s="158"/>
      <c r="F456" s="158"/>
      <c r="G456" s="180"/>
      <c r="H456" s="331" t="s">
        <v>46</v>
      </c>
      <c r="I456" s="147">
        <f t="shared" ref="I456:J456" ca="1" si="336">I457</f>
        <v>42172.25</v>
      </c>
      <c r="J456" s="147">
        <f t="shared" ca="1" si="336"/>
        <v>16197.2</v>
      </c>
      <c r="K456" s="132">
        <f t="shared" ref="K456:K458" ca="1" si="337">IF(I456&gt;0,J456*100/I456,0)</f>
        <v>38.407246471317038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147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42172.25)</f>
        <v>42172.25</v>
      </c>
      <c r="J457" s="147">
        <f t="shared" ref="J457:J458" ca="1" si="338">J459+J467+J473</f>
        <v>16197.2</v>
      </c>
      <c r="K457" s="132">
        <f t="shared" ca="1" si="337"/>
        <v>38.407246471317038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147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3912)</f>
        <v>3912</v>
      </c>
      <c r="J458" s="147">
        <f t="shared" ca="1" si="338"/>
        <v>1806</v>
      </c>
      <c r="K458" s="132">
        <f t="shared" ca="1" si="337"/>
        <v>46.165644171779142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166">
        <f t="shared" ref="J459:J460" ca="1" si="339">J461+J463</f>
        <v>15157</v>
      </c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66">
        <f t="shared" ca="1" si="339"/>
        <v>1732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166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12880)</f>
        <v>12880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166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1506)</f>
        <v>1506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166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2277)</f>
        <v>2277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166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226)</f>
        <v>226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166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166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166">
        <f t="shared" ref="J467:J468" ca="1" si="340">J469+J471</f>
        <v>431.2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66">
        <f t="shared" ca="1" si="340"/>
        <v>31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166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175.2)</f>
        <v>175.2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166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19)</f>
        <v>19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166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256)</f>
        <v>256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166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12)</f>
        <v>12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166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609)</f>
        <v>609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166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43)</f>
        <v>43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37" t="s">
        <v>191</v>
      </c>
      <c r="C475" s="158"/>
      <c r="D475" s="158"/>
      <c r="E475" s="158"/>
      <c r="F475" s="158"/>
      <c r="G475" s="180"/>
      <c r="H475" s="131" t="s">
        <v>46</v>
      </c>
      <c r="I475" s="338">
        <f t="shared" ref="I475:J475" ca="1" si="341">I484</f>
        <v>2575</v>
      </c>
      <c r="J475" s="147">
        <f t="shared" ca="1" si="341"/>
        <v>172</v>
      </c>
      <c r="K475" s="132">
        <f t="shared" ref="K475:K477" ca="1" si="342">IF(I475&gt;0,J475*100/I475,0)</f>
        <v>6.6796116504854366</v>
      </c>
      <c r="L475" s="4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hidden="1" x14ac:dyDescent="0.3">
      <c r="A476" s="208"/>
      <c r="B476" s="158"/>
      <c r="C476" s="161" t="s">
        <v>192</v>
      </c>
      <c r="D476" s="158"/>
      <c r="E476" s="158"/>
      <c r="F476" s="158"/>
      <c r="G476" s="180"/>
      <c r="H476" s="131" t="s">
        <v>46</v>
      </c>
      <c r="I476" s="338">
        <v>0</v>
      </c>
      <c r="J476" s="147">
        <f t="shared" ref="J476:J477" ca="1" si="343">J478+J480</f>
        <v>0</v>
      </c>
      <c r="K476" s="132">
        <f t="shared" si="342"/>
        <v>0</v>
      </c>
      <c r="L476" s="4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hidden="1" x14ac:dyDescent="0.3">
      <c r="A477" s="208"/>
      <c r="B477" s="158"/>
      <c r="C477" s="209" t="s">
        <v>193</v>
      </c>
      <c r="D477" s="158"/>
      <c r="E477" s="158"/>
      <c r="F477" s="158"/>
      <c r="G477" s="180"/>
      <c r="H477" s="131" t="s">
        <v>34</v>
      </c>
      <c r="I477" s="338">
        <v>0</v>
      </c>
      <c r="J477" s="147">
        <f t="shared" ca="1" si="343"/>
        <v>0</v>
      </c>
      <c r="K477" s="132">
        <f t="shared" si="342"/>
        <v>0</v>
      </c>
      <c r="L477" s="4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166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166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166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166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166">
        <v>0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66"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197</v>
      </c>
      <c r="D484" s="158"/>
      <c r="E484" s="158"/>
      <c r="F484" s="158"/>
      <c r="G484" s="180"/>
      <c r="H484" s="131" t="s">
        <v>46</v>
      </c>
      <c r="I484" s="147">
        <f ca="1">IFERROR(__xludf.DUMMYFUNCTION("IMPORTRANGE(""https://docs.google.com/spreadsheets/d/1jTcq05yEiRwXcBMLjiodW9e4biSGYWAHcDj22rKWQ3s/edit?usp=sharing"",""กำแพงเพชร!I484"")+IMPORTRANGE(""https://docs.google.com/spreadsheets/d/1KS0zmDSZPk8KnTAbGN-Xk6MtX1YRZD0ldgdt20K4CRk/edit?usp=sharing"","&amp;"""เชียงราย!I484"")+IMPORTRANGE(""https://docs.google.com/spreadsheets/d/1rEDxBtusbi64tE0zunoIbsTVV16HeL0oJ6trHQeQ7K8/edit?usp=sharing"",""เชียงใหม่!I484"")+IMPORTRANGE(""https://docs.google.com/spreadsheets/d/1W6MnUbDkMi6xHnHko_XkFDO9kkuL6Wqyc-6OCDFjW9I/e"&amp;"dit?usp=sharing"",""ตาก!I484"")+IMPORTRANGE(""https://docs.google.com/spreadsheets/d/1IQAWArduLkta9LpYo4a_ULsyqdta6-6aDDiwpUnQT6c/edit?usp=sharing"",""นครสวรรค์!I484"")+IMPORTRANGE(""https://docs.google.com/spreadsheets/d/10s13Sk5xrltsiR-Zkbmk5DwIaDIKO8Xl"&amp;"bJAfqyT7Gvg/edit?usp=sharing"",""น่าน!I484"")+IMPORTRANGE(""https://docs.google.com/spreadsheets/d/1uu4nAn4Dbi1XREnLKKotUANlKXa7yCgRcgq8HEzQYW8/edit?usp=sharing"",""พะเยา!I484"")+IMPORTRANGE(""https://docs.google.com/spreadsheets/d/1xfJKIQxVOaPDIICqsflNlL"&amp;"u3JacTDk1FP9RH4phX7mI/edit?usp=sharing"",""พิจิตร!I484"")+IMPORTRANGE(""https://docs.google.com/spreadsheets/d/1JtRfZkJMHtEhI5RdRHxYUG4FIZHqKDpNyIuN7A1Q0_k/edit?usp=sharing"",""พิษณุโลก!I484"")+IMPORTRANGE(""https://docs.google.com/spreadsheets/d/1xlcVZWU"&amp;"Nn6SuWm0c307h32SiGkd9BaeQWlAktfD3KO8/edit?usp=sharing"",""เพชรบูรณ์!I484"")+IMPORTRANGE(""https://docs.google.com/spreadsheets/d/1lOVebEIsI9qjGXl6EX66luk7wiuP2tBaryw-wKvv4e0/edit?usp=sharing"",""แพร่!I484"")+IMPORTRANGE(""https://docs.google.com/spreadshe"&amp;"ets/d/1dQrvX0vEcN7Gu0fnZ0B5S90AeR19zth4XlExFBeExMY/edit?usp=sharing"",""แม่ฮ่องสอน!I484"")+IMPORTRANGE(""https://docs.google.com/spreadsheets/d/1DY4XTNNwjluuxqdfdn6qvOSlMRrZqUtmYcZR0ttFiG4/edit?usp=sharing"",""ลำปาง!I484"")+IMPORTRANGE(""https://docs.goog"&amp;"le.com/spreadsheets/d/1ICwG78r0OFT8biBlxnBF8r7she7gNSzOvJ958PWT09c/edit?usp=sharing"",""ลำพูน!I484"")+IMPORTRANGE(""https://docs.google.com/spreadsheets/d/1B0f2xJpZUC6Z0xXnqKlZtEPzsf6L84eP1r1Q15seqRM/edit?usp=sharing"",""สุโขทัย!I484"")+IMPORTRANGE(""http"&amp;"s://docs.google.com/spreadsheets/d/1v0b9pFQCsKUVExMei7AgY2yQkdeNQvtOssygGsXbiKo/edit?usp=sharing"",""อุตรดิตถ์!I484"")+IMPORTRANGE(""https://docs.google.com/spreadsheets/d/1UsNK1e-WWiCo2PvGqdNfdme4m17_Ezd3J69EeeiQPD0/edit?usp=sharing"",""อุทัยธานี!I484"")"),2575)</f>
        <v>2575</v>
      </c>
      <c r="J484" s="147">
        <f t="shared" ref="J484:J485" ca="1" si="344">J486+J488+J490</f>
        <v>172</v>
      </c>
      <c r="K484" s="132">
        <f t="shared" ref="K484:K485" ca="1" si="345">IF(I484&gt;0,J484*100/I484,0)</f>
        <v>6.6796116504854366</v>
      </c>
      <c r="L484" s="4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198</v>
      </c>
      <c r="D485" s="158"/>
      <c r="E485" s="158"/>
      <c r="F485" s="158"/>
      <c r="G485" s="180"/>
      <c r="H485" s="131" t="s">
        <v>34</v>
      </c>
      <c r="I485" s="147">
        <f ca="1">IFERROR(__xludf.DUMMYFUNCTION("IMPORTRANGE(""https://docs.google.com/spreadsheets/d/1jTcq05yEiRwXcBMLjiodW9e4biSGYWAHcDj22rKWQ3s/edit?usp=sharing"",""กำแพงเพชร!I485"")+IMPORTRANGE(""https://docs.google.com/spreadsheets/d/1KS0zmDSZPk8KnTAbGN-Xk6MtX1YRZD0ldgdt20K4CRk/edit?usp=sharing"","&amp;"""เชียงราย!I485"")+IMPORTRANGE(""https://docs.google.com/spreadsheets/d/1rEDxBtusbi64tE0zunoIbsTVV16HeL0oJ6trHQeQ7K8/edit?usp=sharing"",""เชียงใหม่!I485"")+IMPORTRANGE(""https://docs.google.com/spreadsheets/d/1W6MnUbDkMi6xHnHko_XkFDO9kkuL6Wqyc-6OCDFjW9I/e"&amp;"dit?usp=sharing"",""ตาก!I485"")+IMPORTRANGE(""https://docs.google.com/spreadsheets/d/1IQAWArduLkta9LpYo4a_ULsyqdta6-6aDDiwpUnQT6c/edit?usp=sharing"",""นครสวรรค์!I485"")+IMPORTRANGE(""https://docs.google.com/spreadsheets/d/10s13Sk5xrltsiR-Zkbmk5DwIaDIKO8Xl"&amp;"bJAfqyT7Gvg/edit?usp=sharing"",""น่าน!I485"")+IMPORTRANGE(""https://docs.google.com/spreadsheets/d/1uu4nAn4Dbi1XREnLKKotUANlKXa7yCgRcgq8HEzQYW8/edit?usp=sharing"",""พะเยา!I485"")+IMPORTRANGE(""https://docs.google.com/spreadsheets/d/1xfJKIQxVOaPDIICqsflNlL"&amp;"u3JacTDk1FP9RH4phX7mI/edit?usp=sharing"",""พิจิตร!I485"")+IMPORTRANGE(""https://docs.google.com/spreadsheets/d/1JtRfZkJMHtEhI5RdRHxYUG4FIZHqKDpNyIuN7A1Q0_k/edit?usp=sharing"",""พิษณุโลก!I485"")+IMPORTRANGE(""https://docs.google.com/spreadsheets/d/1xlcVZWU"&amp;"Nn6SuWm0c307h32SiGkd9BaeQWlAktfD3KO8/edit?usp=sharing"",""เพชรบูรณ์!I485"")+IMPORTRANGE(""https://docs.google.com/spreadsheets/d/1lOVebEIsI9qjGXl6EX66luk7wiuP2tBaryw-wKvv4e0/edit?usp=sharing"",""แพร่!I485"")+IMPORTRANGE(""https://docs.google.com/spreadshe"&amp;"ets/d/1dQrvX0vEcN7Gu0fnZ0B5S90AeR19zth4XlExFBeExMY/edit?usp=sharing"",""แม่ฮ่องสอน!I485"")+IMPORTRANGE(""https://docs.google.com/spreadsheets/d/1DY4XTNNwjluuxqdfdn6qvOSlMRrZqUtmYcZR0ttFiG4/edit?usp=sharing"",""ลำปาง!I485"")+IMPORTRANGE(""https://docs.goog"&amp;"le.com/spreadsheets/d/1ICwG78r0OFT8biBlxnBF8r7she7gNSzOvJ958PWT09c/edit?usp=sharing"",""ลำพูน!I485"")+IMPORTRANGE(""https://docs.google.com/spreadsheets/d/1B0f2xJpZUC6Z0xXnqKlZtEPzsf6L84eP1r1Q15seqRM/edit?usp=sharing"",""สุโขทัย!I485"")+IMPORTRANGE(""http"&amp;"s://docs.google.com/spreadsheets/d/1v0b9pFQCsKUVExMei7AgY2yQkdeNQvtOssygGsXbiKo/edit?usp=sharing"",""อุตรดิตถ์!I485"")+IMPORTRANGE(""https://docs.google.com/spreadsheets/d/1UsNK1e-WWiCo2PvGqdNfdme4m17_Ezd3J69EeeiQPD0/edit?usp=sharing"",""อุทัยธานี!I485"")"),198)</f>
        <v>198</v>
      </c>
      <c r="J485" s="147">
        <f t="shared" ca="1" si="344"/>
        <v>6</v>
      </c>
      <c r="K485" s="132">
        <f t="shared" ca="1" si="345"/>
        <v>3.0303030303030303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166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2)</f>
        <v>2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166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1)</f>
        <v>1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166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166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166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170)</f>
        <v>170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187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5)</f>
        <v>5</v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294">
        <f t="shared" ref="I492:J492" ca="1" si="346">I503</f>
        <v>60</v>
      </c>
      <c r="J492" s="294">
        <f t="shared" ca="1" si="346"/>
        <v>60</v>
      </c>
      <c r="K492" s="295">
        <f ca="1">IF(I492&gt;0,J492*100/I492,0)</f>
        <v>100</v>
      </c>
      <c r="L492" s="296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x14ac:dyDescent="0.3">
      <c r="A493" s="128"/>
      <c r="B493" s="158"/>
      <c r="C493" s="177" t="s">
        <v>18</v>
      </c>
      <c r="D493" s="524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132">
        <f t="shared" ref="L493:N493" ca="1" si="347">L494+L495</f>
        <v>30100</v>
      </c>
      <c r="M493" s="132">
        <f t="shared" ca="1" si="347"/>
        <v>30100</v>
      </c>
      <c r="N493" s="132">
        <f t="shared" ca="1" si="347"/>
        <v>30100</v>
      </c>
      <c r="O493" s="132">
        <f t="shared" ref="O493:O501" ca="1" si="348">IF(L493&gt;0,N493*100/L493,0)</f>
        <v>100</v>
      </c>
      <c r="P493" s="132">
        <f t="shared" ref="P493:P501" ca="1" si="349">IF(M493&gt;0,N493*100/M493,0)</f>
        <v>100</v>
      </c>
      <c r="Q493" s="132">
        <f t="shared" ref="Q493:S493" ca="1" si="350">Q494+Q495</f>
        <v>741945</v>
      </c>
      <c r="R493" s="132">
        <f t="shared" ca="1" si="350"/>
        <v>749645</v>
      </c>
      <c r="S493" s="132">
        <f t="shared" ca="1" si="350"/>
        <v>422808</v>
      </c>
      <c r="T493" s="132">
        <f t="shared" ref="T493:T501" ca="1" si="351">IF(Q493&gt;0,S493*100/Q493,0)</f>
        <v>56.986434304429572</v>
      </c>
      <c r="U493" s="132">
        <f t="shared" ref="U493:U501" ca="1" si="352">IF(R493&gt;0,S493*100/R493,0)</f>
        <v>56.401096519018999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48">
        <f t="shared" ref="L494:N494" ca="1" si="353">L497+L500</f>
        <v>0</v>
      </c>
      <c r="M494" s="48">
        <f t="shared" ca="1" si="353"/>
        <v>0</v>
      </c>
      <c r="N494" s="48">
        <f t="shared" ca="1" si="353"/>
        <v>0</v>
      </c>
      <c r="O494" s="48">
        <f t="shared" ca="1" si="348"/>
        <v>0</v>
      </c>
      <c r="P494" s="48">
        <f t="shared" ca="1" si="349"/>
        <v>0</v>
      </c>
      <c r="Q494" s="48">
        <f t="shared" ref="Q494:S494" ca="1" si="354">Q497+Q500</f>
        <v>0</v>
      </c>
      <c r="R494" s="48">
        <f t="shared" ca="1" si="354"/>
        <v>0</v>
      </c>
      <c r="S494" s="48">
        <f t="shared" ca="1" si="354"/>
        <v>0</v>
      </c>
      <c r="T494" s="48">
        <f t="shared" ca="1" si="351"/>
        <v>0</v>
      </c>
      <c r="U494" s="48">
        <f t="shared" ca="1" si="352"/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46">
        <f t="shared" ref="L495:N495" ca="1" si="355">L498+L501</f>
        <v>30100</v>
      </c>
      <c r="M495" s="46">
        <f t="shared" ca="1" si="355"/>
        <v>30100</v>
      </c>
      <c r="N495" s="46">
        <f t="shared" ca="1" si="355"/>
        <v>30100</v>
      </c>
      <c r="O495" s="46">
        <f t="shared" ca="1" si="348"/>
        <v>100</v>
      </c>
      <c r="P495" s="46">
        <f t="shared" ca="1" si="349"/>
        <v>100</v>
      </c>
      <c r="Q495" s="46">
        <f t="shared" ref="Q495:S495" ca="1" si="356">Q498+Q501</f>
        <v>741945</v>
      </c>
      <c r="R495" s="46">
        <f t="shared" ca="1" si="356"/>
        <v>749645</v>
      </c>
      <c r="S495" s="46">
        <f t="shared" ca="1" si="356"/>
        <v>422808</v>
      </c>
      <c r="T495" s="46">
        <f t="shared" ca="1" si="351"/>
        <v>56.986434304429572</v>
      </c>
      <c r="U495" s="46">
        <f t="shared" ca="1" si="352"/>
        <v>56.401096519018999</v>
      </c>
    </row>
    <row r="496" spans="1:21" ht="18.75" x14ac:dyDescent="0.25">
      <c r="A496" s="128"/>
      <c r="B496" s="158"/>
      <c r="C496" s="158"/>
      <c r="D496" s="160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">
        <f t="shared" ref="L496:N496" ca="1" si="357">L497+L498</f>
        <v>30100</v>
      </c>
      <c r="M496" s="46">
        <f t="shared" ca="1" si="357"/>
        <v>30100</v>
      </c>
      <c r="N496" s="46">
        <f t="shared" ca="1" si="357"/>
        <v>30100</v>
      </c>
      <c r="O496" s="46">
        <f t="shared" ca="1" si="348"/>
        <v>100</v>
      </c>
      <c r="P496" s="46">
        <f t="shared" ca="1" si="349"/>
        <v>100</v>
      </c>
      <c r="Q496" s="46">
        <f t="shared" ref="Q496:S496" ca="1" si="358">Q497+Q498</f>
        <v>741945</v>
      </c>
      <c r="R496" s="46">
        <f t="shared" ca="1" si="358"/>
        <v>749645</v>
      </c>
      <c r="S496" s="46">
        <f t="shared" ca="1" si="358"/>
        <v>422808</v>
      </c>
      <c r="T496" s="46">
        <f t="shared" ca="1" si="351"/>
        <v>56.986434304429572</v>
      </c>
      <c r="U496" s="46">
        <f t="shared" ca="1" si="352"/>
        <v>56.401096519018999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48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7" s="48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7" s="48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7" s="48">
        <f t="shared" ca="1" si="348"/>
        <v>0</v>
      </c>
      <c r="P497" s="48">
        <f t="shared" ca="1" si="349"/>
        <v>0</v>
      </c>
      <c r="Q497" s="48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7" s="48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7" s="48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7" s="48">
        <f t="shared" ca="1" si="351"/>
        <v>0</v>
      </c>
      <c r="U497" s="48">
        <f t="shared" ca="1" si="352"/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46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30100)</f>
        <v>30100</v>
      </c>
      <c r="M498" s="46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30100)</f>
        <v>30100</v>
      </c>
      <c r="N498" s="46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30100)</f>
        <v>30100</v>
      </c>
      <c r="O498" s="46">
        <f t="shared" ca="1" si="348"/>
        <v>100</v>
      </c>
      <c r="P498" s="46">
        <f t="shared" ca="1" si="349"/>
        <v>100</v>
      </c>
      <c r="Q498" s="46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8" s="46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749645)</f>
        <v>749645</v>
      </c>
      <c r="S498" s="46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422808)</f>
        <v>422808</v>
      </c>
      <c r="T498" s="46">
        <f t="shared" ca="1" si="351"/>
        <v>56.986434304429572</v>
      </c>
      <c r="U498" s="46">
        <f t="shared" ca="1" si="352"/>
        <v>56.401096519018999</v>
      </c>
    </row>
    <row r="499" spans="1:21" ht="18.75" x14ac:dyDescent="0.25">
      <c r="A499" s="128"/>
      <c r="B499" s="158"/>
      <c r="C499" s="158"/>
      <c r="D499" s="160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">
        <f t="shared" ref="L499:N499" ca="1" si="359">L500+L501</f>
        <v>0</v>
      </c>
      <c r="M499" s="46">
        <f t="shared" ca="1" si="359"/>
        <v>0</v>
      </c>
      <c r="N499" s="46">
        <f t="shared" ca="1" si="359"/>
        <v>0</v>
      </c>
      <c r="O499" s="46">
        <f t="shared" ca="1" si="348"/>
        <v>0</v>
      </c>
      <c r="P499" s="46">
        <f t="shared" ca="1" si="349"/>
        <v>0</v>
      </c>
      <c r="Q499" s="46">
        <f t="shared" ref="Q499:S499" ca="1" si="360">Q500+Q501</f>
        <v>0</v>
      </c>
      <c r="R499" s="46">
        <f t="shared" ca="1" si="360"/>
        <v>0</v>
      </c>
      <c r="S499" s="46">
        <f t="shared" ca="1" si="360"/>
        <v>0</v>
      </c>
      <c r="T499" s="46">
        <f t="shared" ca="1" si="351"/>
        <v>0</v>
      </c>
      <c r="U499" s="46">
        <f t="shared" ca="1" si="352"/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8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0" s="48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0" s="48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0" s="48">
        <f t="shared" ca="1" si="348"/>
        <v>0</v>
      </c>
      <c r="P500" s="48">
        <f t="shared" ca="1" si="349"/>
        <v>0</v>
      </c>
      <c r="Q500" s="48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0" s="48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0" s="48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0" s="48">
        <f t="shared" ca="1" si="351"/>
        <v>0</v>
      </c>
      <c r="U500" s="48">
        <f t="shared" ca="1" si="352"/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1" s="46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1" s="46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1" s="46">
        <f t="shared" ca="1" si="348"/>
        <v>0</v>
      </c>
      <c r="P501" s="46">
        <f t="shared" ca="1" si="349"/>
        <v>0</v>
      </c>
      <c r="Q501" s="46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1" s="46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1" s="46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1" s="46">
        <f t="shared" ca="1" si="351"/>
        <v>0</v>
      </c>
      <c r="U501" s="46">
        <f t="shared" ca="1" si="352"/>
        <v>0</v>
      </c>
    </row>
    <row r="502" spans="1:21" ht="19.5" x14ac:dyDescent="0.3">
      <c r="A502" s="138"/>
      <c r="B502" s="139"/>
      <c r="C502" s="177" t="s">
        <v>18</v>
      </c>
      <c r="D502" s="321" t="s">
        <v>38</v>
      </c>
      <c r="E502" s="141"/>
      <c r="F502" s="141"/>
      <c r="G502" s="142"/>
      <c r="H502" s="178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166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3" s="167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60)</f>
        <v>60</v>
      </c>
      <c r="K503" s="132">
        <f t="shared" ref="K503:K509" ca="1" si="361">IF(I503&gt;0,J503*100/I503,0)</f>
        <v>100</v>
      </c>
      <c r="L503" s="4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66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60)</f>
        <v>60</v>
      </c>
      <c r="J504" s="167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60)</f>
        <v>60</v>
      </c>
      <c r="K504" s="46">
        <f t="shared" ca="1" si="361"/>
        <v>100</v>
      </c>
      <c r="L504" s="4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66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60)</f>
        <v>60</v>
      </c>
      <c r="J505" s="167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60)</f>
        <v>60</v>
      </c>
      <c r="K505" s="46">
        <f t="shared" ca="1" si="361"/>
        <v>100</v>
      </c>
      <c r="L505" s="4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66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60)</f>
        <v>60</v>
      </c>
      <c r="J506" s="167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60)</f>
        <v>60</v>
      </c>
      <c r="K506" s="46">
        <f t="shared" ca="1" si="361"/>
        <v>100</v>
      </c>
      <c r="L506" s="4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66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10)</f>
        <v>10</v>
      </c>
      <c r="J507" s="167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10)</f>
        <v>10</v>
      </c>
      <c r="K507" s="46">
        <f t="shared" ca="1" si="361"/>
        <v>100</v>
      </c>
      <c r="L507" s="4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46">
        <f t="shared" si="361"/>
        <v>0</v>
      </c>
      <c r="L508" s="4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7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09" s="344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09" s="111">
        <f t="shared" ca="1" si="361"/>
        <v>0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345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349"/>
      <c r="M510" s="349"/>
      <c r="N510" s="349"/>
      <c r="O510" s="349"/>
      <c r="P510" s="350"/>
      <c r="Q510" s="351"/>
      <c r="R510" s="351"/>
      <c r="S510" s="351"/>
      <c r="T510" s="351"/>
      <c r="U510" s="351"/>
    </row>
    <row r="511" spans="1:21" ht="19.5" hidden="1" x14ac:dyDescent="0.3">
      <c r="A511" s="352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357"/>
      <c r="M511" s="357"/>
      <c r="N511" s="357"/>
      <c r="O511" s="357"/>
      <c r="P511" s="357"/>
      <c r="Q511" s="358"/>
      <c r="R511" s="358"/>
      <c r="S511" s="358"/>
      <c r="T511" s="358"/>
      <c r="U511" s="358"/>
    </row>
    <row r="512" spans="1:21" ht="19.5" hidden="1" x14ac:dyDescent="0.3">
      <c r="A512" s="359"/>
      <c r="B512" s="360" t="s">
        <v>211</v>
      </c>
      <c r="C512" s="361"/>
      <c r="D512" s="362"/>
      <c r="E512" s="362"/>
      <c r="F512" s="362"/>
      <c r="G512" s="363"/>
      <c r="H512" s="364" t="s">
        <v>61</v>
      </c>
      <c r="I512" s="365">
        <f t="shared" ref="I512:J512" si="362">I524</f>
        <v>0</v>
      </c>
      <c r="J512" s="365">
        <f t="shared" si="362"/>
        <v>0</v>
      </c>
      <c r="K512" s="366">
        <f>IF(I512&gt;0,J512*100/I512,0)</f>
        <v>0</v>
      </c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129" t="s">
        <v>18</v>
      </c>
      <c r="D513" s="130" t="s">
        <v>19</v>
      </c>
      <c r="E513" s="40"/>
      <c r="F513" s="40"/>
      <c r="G513" s="42"/>
      <c r="H513" s="131" t="s">
        <v>14</v>
      </c>
      <c r="I513" s="44"/>
      <c r="J513" s="44"/>
      <c r="K513" s="45"/>
      <c r="L513" s="132">
        <f t="shared" ref="L513:N513" ca="1" si="363">L514+L515</f>
        <v>0</v>
      </c>
      <c r="M513" s="132">
        <f t="shared" ca="1" si="363"/>
        <v>0</v>
      </c>
      <c r="N513" s="132">
        <f t="shared" ca="1" si="363"/>
        <v>0</v>
      </c>
      <c r="O513" s="132">
        <f t="shared" ref="O513:O521" ca="1" si="364">IF(L513&gt;0,N513*100/L513,0)</f>
        <v>0</v>
      </c>
      <c r="P513" s="132">
        <f t="shared" ref="P513:P521" ca="1" si="365">IF(M513&gt;0,N513*100/M513,0)</f>
        <v>0</v>
      </c>
      <c r="Q513" s="132">
        <f t="shared" ref="Q513:S513" ca="1" si="366">Q514+Q515</f>
        <v>0</v>
      </c>
      <c r="R513" s="132">
        <f t="shared" ca="1" si="366"/>
        <v>0</v>
      </c>
      <c r="S513" s="132">
        <f t="shared" ca="1" si="366"/>
        <v>0</v>
      </c>
      <c r="T513" s="132">
        <f t="shared" ref="T513:T521" ca="1" si="367">IF(Q513&gt;0,S513*100/Q513,0)</f>
        <v>0</v>
      </c>
      <c r="U513" s="132">
        <f t="shared" ref="U513:U521" ca="1" si="368"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47" t="s">
        <v>20</v>
      </c>
      <c r="F514" s="40"/>
      <c r="G514" s="42"/>
      <c r="H514" s="133" t="s">
        <v>14</v>
      </c>
      <c r="I514" s="44"/>
      <c r="J514" s="44"/>
      <c r="K514" s="45"/>
      <c r="L514" s="46">
        <f t="shared" ref="L514:N514" ca="1" si="369">L517+L520</f>
        <v>0</v>
      </c>
      <c r="M514" s="46">
        <f t="shared" ca="1" si="369"/>
        <v>0</v>
      </c>
      <c r="N514" s="46">
        <f t="shared" ca="1" si="369"/>
        <v>0</v>
      </c>
      <c r="O514" s="46">
        <f t="shared" ca="1" si="364"/>
        <v>0</v>
      </c>
      <c r="P514" s="46">
        <f t="shared" ca="1" si="365"/>
        <v>0</v>
      </c>
      <c r="Q514" s="48">
        <f t="shared" ref="Q514:S514" ca="1" si="370">Q517+Q520</f>
        <v>0</v>
      </c>
      <c r="R514" s="48">
        <f t="shared" ca="1" si="370"/>
        <v>0</v>
      </c>
      <c r="S514" s="48">
        <f t="shared" ca="1" si="370"/>
        <v>0</v>
      </c>
      <c r="T514" s="48">
        <f t="shared" ca="1" si="367"/>
        <v>0</v>
      </c>
      <c r="U514" s="48">
        <f t="shared" ca="1" si="368"/>
        <v>0</v>
      </c>
    </row>
    <row r="515" spans="1:21" ht="18.75" hidden="1" x14ac:dyDescent="0.25">
      <c r="A515" s="128"/>
      <c r="B515" s="40"/>
      <c r="C515" s="40"/>
      <c r="D515" s="40"/>
      <c r="E515" s="47" t="s">
        <v>21</v>
      </c>
      <c r="F515" s="40"/>
      <c r="G515" s="42"/>
      <c r="H515" s="133" t="s">
        <v>14</v>
      </c>
      <c r="I515" s="44"/>
      <c r="J515" s="44"/>
      <c r="K515" s="45"/>
      <c r="L515" s="46">
        <f t="shared" ref="L515:N515" ca="1" si="371">L518+L521</f>
        <v>0</v>
      </c>
      <c r="M515" s="46">
        <f t="shared" ca="1" si="371"/>
        <v>0</v>
      </c>
      <c r="N515" s="46">
        <f t="shared" ca="1" si="371"/>
        <v>0</v>
      </c>
      <c r="O515" s="46">
        <f t="shared" ca="1" si="364"/>
        <v>0</v>
      </c>
      <c r="P515" s="46">
        <f t="shared" ca="1" si="365"/>
        <v>0</v>
      </c>
      <c r="Q515" s="46">
        <f t="shared" ref="Q515:S515" ca="1" si="372">Q518+Q521</f>
        <v>0</v>
      </c>
      <c r="R515" s="46">
        <f t="shared" ca="1" si="372"/>
        <v>0</v>
      </c>
      <c r="S515" s="46">
        <f t="shared" ca="1" si="372"/>
        <v>0</v>
      </c>
      <c r="T515" s="46">
        <f t="shared" ca="1" si="367"/>
        <v>0</v>
      </c>
      <c r="U515" s="46">
        <f t="shared" ca="1" si="368"/>
        <v>0</v>
      </c>
    </row>
    <row r="516" spans="1:21" ht="18.75" hidden="1" x14ac:dyDescent="0.25">
      <c r="A516" s="128"/>
      <c r="B516" s="40"/>
      <c r="C516" s="40"/>
      <c r="D516" s="41" t="s">
        <v>22</v>
      </c>
      <c r="E516" s="40"/>
      <c r="F516" s="40"/>
      <c r="G516" s="42"/>
      <c r="H516" s="134" t="s">
        <v>14</v>
      </c>
      <c r="I516" s="135"/>
      <c r="J516" s="135"/>
      <c r="K516" s="136"/>
      <c r="L516" s="46">
        <f t="shared" ref="L516:N516" ca="1" si="373">L517+L518</f>
        <v>0</v>
      </c>
      <c r="M516" s="46">
        <f t="shared" ca="1" si="373"/>
        <v>0</v>
      </c>
      <c r="N516" s="46">
        <f t="shared" ca="1" si="373"/>
        <v>0</v>
      </c>
      <c r="O516" s="46">
        <f t="shared" ca="1" si="364"/>
        <v>0</v>
      </c>
      <c r="P516" s="46">
        <f t="shared" ca="1" si="365"/>
        <v>0</v>
      </c>
      <c r="Q516" s="46">
        <f t="shared" ref="Q516:S516" ca="1" si="374">Q517+Q518</f>
        <v>0</v>
      </c>
      <c r="R516" s="46">
        <f t="shared" ca="1" si="374"/>
        <v>0</v>
      </c>
      <c r="S516" s="46">
        <f t="shared" ca="1" si="374"/>
        <v>0</v>
      </c>
      <c r="T516" s="46">
        <f t="shared" ca="1" si="367"/>
        <v>0</v>
      </c>
      <c r="U516" s="46">
        <f t="shared" ca="1" si="368"/>
        <v>0</v>
      </c>
    </row>
    <row r="517" spans="1:21" ht="18.75" hidden="1" x14ac:dyDescent="0.25">
      <c r="A517" s="128"/>
      <c r="B517" s="40"/>
      <c r="C517" s="40"/>
      <c r="D517" s="40"/>
      <c r="E517" s="47" t="s">
        <v>36</v>
      </c>
      <c r="F517" s="40"/>
      <c r="G517" s="42"/>
      <c r="H517" s="134" t="s">
        <v>14</v>
      </c>
      <c r="I517" s="135"/>
      <c r="J517" s="135"/>
      <c r="K517" s="136"/>
      <c r="L517" s="46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7" s="46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7" s="46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7" s="46">
        <f t="shared" ca="1" si="364"/>
        <v>0</v>
      </c>
      <c r="P517" s="46">
        <f t="shared" ca="1" si="365"/>
        <v>0</v>
      </c>
      <c r="Q517" s="48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7" s="48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7" s="48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7" s="48">
        <f t="shared" ca="1" si="367"/>
        <v>0</v>
      </c>
      <c r="U517" s="48">
        <f t="shared" ca="1" si="368"/>
        <v>0</v>
      </c>
    </row>
    <row r="518" spans="1:21" ht="18.75" hidden="1" x14ac:dyDescent="0.25">
      <c r="A518" s="128"/>
      <c r="B518" s="40"/>
      <c r="C518" s="40"/>
      <c r="D518" s="40"/>
      <c r="E518" s="47" t="s">
        <v>37</v>
      </c>
      <c r="F518" s="40"/>
      <c r="G518" s="42"/>
      <c r="H518" s="134" t="s">
        <v>14</v>
      </c>
      <c r="I518" s="135"/>
      <c r="J518" s="135"/>
      <c r="K518" s="136"/>
      <c r="L518" s="46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8" s="46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8" s="46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8" s="46">
        <f t="shared" ca="1" si="364"/>
        <v>0</v>
      </c>
      <c r="P518" s="46">
        <f t="shared" ca="1" si="365"/>
        <v>0</v>
      </c>
      <c r="Q518" s="46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8" s="46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8" s="46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8" s="46">
        <f t="shared" ca="1" si="367"/>
        <v>0</v>
      </c>
      <c r="U518" s="46">
        <f t="shared" ca="1" si="368"/>
        <v>0</v>
      </c>
    </row>
    <row r="519" spans="1:21" ht="18.75" hidden="1" x14ac:dyDescent="0.25">
      <c r="A519" s="128"/>
      <c r="B519" s="40"/>
      <c r="C519" s="40"/>
      <c r="D519" s="41" t="s">
        <v>23</v>
      </c>
      <c r="E519" s="40"/>
      <c r="F519" s="40"/>
      <c r="G519" s="42"/>
      <c r="H519" s="137" t="s">
        <v>14</v>
      </c>
      <c r="I519" s="135"/>
      <c r="J519" s="135"/>
      <c r="K519" s="136"/>
      <c r="L519" s="46">
        <f t="shared" ref="L519:N519" ca="1" si="375">L520+L521</f>
        <v>0</v>
      </c>
      <c r="M519" s="46">
        <f t="shared" ca="1" si="375"/>
        <v>0</v>
      </c>
      <c r="N519" s="46">
        <f t="shared" ca="1" si="375"/>
        <v>0</v>
      </c>
      <c r="O519" s="46">
        <f t="shared" ca="1" si="364"/>
        <v>0</v>
      </c>
      <c r="P519" s="46">
        <f t="shared" ca="1" si="365"/>
        <v>0</v>
      </c>
      <c r="Q519" s="46">
        <f t="shared" ref="Q519:S519" ca="1" si="376">Q520+Q521</f>
        <v>0</v>
      </c>
      <c r="R519" s="46">
        <f t="shared" ca="1" si="376"/>
        <v>0</v>
      </c>
      <c r="S519" s="46">
        <f t="shared" ca="1" si="376"/>
        <v>0</v>
      </c>
      <c r="T519" s="46">
        <f t="shared" ca="1" si="367"/>
        <v>0</v>
      </c>
      <c r="U519" s="46">
        <f t="shared" ca="1" si="368"/>
        <v>0</v>
      </c>
    </row>
    <row r="520" spans="1:21" ht="18.75" hidden="1" x14ac:dyDescent="0.25">
      <c r="A520" s="128"/>
      <c r="B520" s="40"/>
      <c r="C520" s="40"/>
      <c r="D520" s="40"/>
      <c r="E520" s="47" t="s">
        <v>20</v>
      </c>
      <c r="F520" s="40"/>
      <c r="G520" s="42"/>
      <c r="H520" s="134" t="s">
        <v>14</v>
      </c>
      <c r="I520" s="135"/>
      <c r="J520" s="135"/>
      <c r="K520" s="136"/>
      <c r="L520" s="46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0" s="46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0" s="46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0" s="46">
        <f t="shared" ca="1" si="364"/>
        <v>0</v>
      </c>
      <c r="P520" s="46">
        <f t="shared" ca="1" si="365"/>
        <v>0</v>
      </c>
      <c r="Q520" s="48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0" s="48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0" s="48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0" s="48">
        <f t="shared" ca="1" si="367"/>
        <v>0</v>
      </c>
      <c r="U520" s="48">
        <f t="shared" ca="1" si="368"/>
        <v>0</v>
      </c>
    </row>
    <row r="521" spans="1:21" ht="18.75" hidden="1" x14ac:dyDescent="0.25">
      <c r="A521" s="128"/>
      <c r="B521" s="40"/>
      <c r="C521" s="40"/>
      <c r="D521" s="40"/>
      <c r="E521" s="47" t="s">
        <v>21</v>
      </c>
      <c r="F521" s="40"/>
      <c r="G521" s="42"/>
      <c r="H521" s="137" t="s">
        <v>14</v>
      </c>
      <c r="I521" s="135"/>
      <c r="J521" s="135"/>
      <c r="K521" s="136"/>
      <c r="L521" s="46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1" s="46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1" s="46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1" s="46">
        <f t="shared" ca="1" si="364"/>
        <v>0</v>
      </c>
      <c r="P521" s="46">
        <f t="shared" ca="1" si="365"/>
        <v>0</v>
      </c>
      <c r="Q521" s="46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1" s="46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1" s="46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1" s="46">
        <f t="shared" ca="1" si="367"/>
        <v>0</v>
      </c>
      <c r="U521" s="46">
        <f t="shared" ca="1" si="368"/>
        <v>0</v>
      </c>
    </row>
    <row r="522" spans="1:21" ht="19.5" hidden="1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4"/>
      <c r="K522" s="45"/>
      <c r="L522" s="4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49" t="s">
        <v>212</v>
      </c>
      <c r="E523" s="139"/>
      <c r="F523" s="40"/>
      <c r="G523" s="42"/>
      <c r="H523" s="210" t="s">
        <v>11</v>
      </c>
      <c r="I523" s="184">
        <v>0</v>
      </c>
      <c r="J523" s="184">
        <v>0</v>
      </c>
      <c r="K523" s="46">
        <f t="shared" ref="K523:K524" si="377">IF(I523&gt;0,J523*100/I523,0)</f>
        <v>0</v>
      </c>
      <c r="L523" s="4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368" t="s">
        <v>213</v>
      </c>
      <c r="E524" s="250"/>
      <c r="F524" s="1"/>
      <c r="G524" s="52"/>
      <c r="H524" s="369" t="s">
        <v>61</v>
      </c>
      <c r="I524" s="188">
        <v>0</v>
      </c>
      <c r="J524" s="188">
        <v>0</v>
      </c>
      <c r="K524" s="111">
        <f t="shared" si="377"/>
        <v>0</v>
      </c>
      <c r="L524" s="3"/>
      <c r="M524" s="3"/>
      <c r="N524" s="3"/>
      <c r="O524" s="3"/>
      <c r="P524" s="3"/>
      <c r="Q524" s="45"/>
      <c r="R524" s="45"/>
      <c r="S524" s="45"/>
      <c r="T524" s="45"/>
      <c r="U524" s="45"/>
    </row>
    <row r="525" spans="1:21" ht="12.75" hidden="1" x14ac:dyDescent="0.2">
      <c r="A525" s="227"/>
      <c r="B525" s="228"/>
      <c r="C525" s="228"/>
      <c r="D525" s="229"/>
      <c r="E525" s="229"/>
      <c r="F525" s="229"/>
      <c r="G525" s="230"/>
      <c r="H525" s="231"/>
      <c r="I525" s="232"/>
      <c r="J525" s="232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327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 t="shared" ref="I533:J533" ca="1" si="378">I544</f>
        <v>2</v>
      </c>
      <c r="J533" s="365">
        <f t="shared" ca="1" si="378"/>
        <v>0</v>
      </c>
      <c r="K533" s="366">
        <f ca="1">IF(I533&gt;0,J533*100/I533,0)</f>
        <v>0</v>
      </c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129" t="s">
        <v>18</v>
      </c>
      <c r="D534" s="13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2">
        <f t="shared" ref="L534:N534" ca="1" si="379">L535+L536</f>
        <v>2916000</v>
      </c>
      <c r="M534" s="132">
        <f t="shared" ca="1" si="379"/>
        <v>2224000</v>
      </c>
      <c r="N534" s="132">
        <f t="shared" ca="1" si="379"/>
        <v>0</v>
      </c>
      <c r="O534" s="132">
        <f t="shared" ref="O534:O542" ca="1" si="380">IF(L534&gt;0,N534*100/L534,0)</f>
        <v>0</v>
      </c>
      <c r="P534" s="132">
        <f t="shared" ref="P534:P542" ca="1" si="381">IF(M534&gt;0,N534*100/M534,0)</f>
        <v>0</v>
      </c>
      <c r="Q534" s="132">
        <f t="shared" ref="Q534:S534" ca="1" si="382">Q535+Q536</f>
        <v>0</v>
      </c>
      <c r="R534" s="132">
        <f t="shared" ca="1" si="382"/>
        <v>0</v>
      </c>
      <c r="S534" s="132">
        <f t="shared" ca="1" si="382"/>
        <v>0</v>
      </c>
      <c r="T534" s="132">
        <f t="shared" ref="T534:T542" ca="1" si="383">IF(Q534&gt;0,S534*100/Q534,0)</f>
        <v>0</v>
      </c>
      <c r="U534" s="132">
        <f t="shared" ref="U534:U542" ca="1" si="384"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8">
        <f t="shared" ref="L535:N535" ca="1" si="385">L538+L541</f>
        <v>0</v>
      </c>
      <c r="M535" s="48">
        <f t="shared" ca="1" si="385"/>
        <v>0</v>
      </c>
      <c r="N535" s="48">
        <f t="shared" ca="1" si="385"/>
        <v>0</v>
      </c>
      <c r="O535" s="48">
        <f t="shared" ca="1" si="380"/>
        <v>0</v>
      </c>
      <c r="P535" s="48">
        <f t="shared" ca="1" si="381"/>
        <v>0</v>
      </c>
      <c r="Q535" s="48">
        <f t="shared" ref="Q535:S535" ca="1" si="386">Q538+Q541</f>
        <v>0</v>
      </c>
      <c r="R535" s="48">
        <f t="shared" ca="1" si="386"/>
        <v>0</v>
      </c>
      <c r="S535" s="48">
        <f t="shared" ca="1" si="386"/>
        <v>0</v>
      </c>
      <c r="T535" s="48">
        <f t="shared" ca="1" si="383"/>
        <v>0</v>
      </c>
      <c r="U535" s="48">
        <f t="shared" ca="1" si="384"/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">
        <f t="shared" ref="L536:N536" ca="1" si="387">L539+L542</f>
        <v>2916000</v>
      </c>
      <c r="M536" s="46">
        <f t="shared" ca="1" si="387"/>
        <v>2224000</v>
      </c>
      <c r="N536" s="46">
        <f t="shared" ca="1" si="387"/>
        <v>0</v>
      </c>
      <c r="O536" s="46">
        <f t="shared" ca="1" si="380"/>
        <v>0</v>
      </c>
      <c r="P536" s="46">
        <f t="shared" ca="1" si="381"/>
        <v>0</v>
      </c>
      <c r="Q536" s="46">
        <f t="shared" ref="Q536:S536" ca="1" si="388">Q539+Q542</f>
        <v>0</v>
      </c>
      <c r="R536" s="46">
        <f t="shared" ca="1" si="388"/>
        <v>0</v>
      </c>
      <c r="S536" s="46">
        <f t="shared" ca="1" si="388"/>
        <v>0</v>
      </c>
      <c r="T536" s="46">
        <f t="shared" ca="1" si="383"/>
        <v>0</v>
      </c>
      <c r="U536" s="46">
        <f t="shared" ca="1" si="384"/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">
        <f t="shared" ref="L537:N537" ca="1" si="389">L538+L539</f>
        <v>0</v>
      </c>
      <c r="M537" s="46">
        <f t="shared" ca="1" si="389"/>
        <v>0</v>
      </c>
      <c r="N537" s="46">
        <f t="shared" ca="1" si="389"/>
        <v>0</v>
      </c>
      <c r="O537" s="46">
        <f t="shared" ca="1" si="380"/>
        <v>0</v>
      </c>
      <c r="P537" s="46">
        <f t="shared" ca="1" si="381"/>
        <v>0</v>
      </c>
      <c r="Q537" s="46">
        <f t="shared" ref="Q537:S537" ca="1" si="390">Q538+Q539</f>
        <v>0</v>
      </c>
      <c r="R537" s="46">
        <f t="shared" ca="1" si="390"/>
        <v>0</v>
      </c>
      <c r="S537" s="46">
        <f t="shared" ca="1" si="390"/>
        <v>0</v>
      </c>
      <c r="T537" s="46">
        <f t="shared" ca="1" si="383"/>
        <v>0</v>
      </c>
      <c r="U537" s="46">
        <f t="shared" ca="1" si="384"/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8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8" s="48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8" s="48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8" s="48">
        <f t="shared" ca="1" si="380"/>
        <v>0</v>
      </c>
      <c r="P538" s="48">
        <f t="shared" ca="1" si="381"/>
        <v>0</v>
      </c>
      <c r="Q538" s="48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8" s="48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8" s="48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8" s="48">
        <f t="shared" ca="1" si="383"/>
        <v>0</v>
      </c>
      <c r="U538" s="48">
        <f t="shared" ca="1" si="384"/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39" s="46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39" s="46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39" s="46">
        <f t="shared" ca="1" si="380"/>
        <v>0</v>
      </c>
      <c r="P539" s="46">
        <f t="shared" ca="1" si="381"/>
        <v>0</v>
      </c>
      <c r="Q539" s="46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39" s="46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39" s="46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39" s="46">
        <f t="shared" ca="1" si="383"/>
        <v>0</v>
      </c>
      <c r="U539" s="46">
        <f t="shared" ca="1" si="384"/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">
        <f t="shared" ref="L540:N540" ca="1" si="391">L541+L542</f>
        <v>2916000</v>
      </c>
      <c r="M540" s="46">
        <f t="shared" ca="1" si="391"/>
        <v>2224000</v>
      </c>
      <c r="N540" s="46">
        <f t="shared" ca="1" si="391"/>
        <v>0</v>
      </c>
      <c r="O540" s="46">
        <f t="shared" ca="1" si="380"/>
        <v>0</v>
      </c>
      <c r="P540" s="46">
        <f t="shared" ca="1" si="381"/>
        <v>0</v>
      </c>
      <c r="Q540" s="46">
        <f t="shared" ref="Q540:S540" ca="1" si="392">Q541+Q542</f>
        <v>0</v>
      </c>
      <c r="R540" s="46">
        <f t="shared" ca="1" si="392"/>
        <v>0</v>
      </c>
      <c r="S540" s="46">
        <f t="shared" ca="1" si="392"/>
        <v>0</v>
      </c>
      <c r="T540" s="46">
        <f t="shared" ca="1" si="383"/>
        <v>0</v>
      </c>
      <c r="U540" s="46">
        <f t="shared" ca="1" si="384"/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8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1" s="48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1" s="48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1" s="48">
        <f t="shared" ca="1" si="380"/>
        <v>0</v>
      </c>
      <c r="P541" s="48">
        <f t="shared" ca="1" si="381"/>
        <v>0</v>
      </c>
      <c r="Q541" s="48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1" s="48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1" s="48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1" s="48">
        <f t="shared" ca="1" si="383"/>
        <v>0</v>
      </c>
      <c r="U541" s="48">
        <f t="shared" ca="1" si="384"/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2916000)</f>
        <v>2916000</v>
      </c>
      <c r="M542" s="46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2224000)</f>
        <v>2224000</v>
      </c>
      <c r="N542" s="46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2" s="46">
        <f t="shared" ca="1" si="380"/>
        <v>0</v>
      </c>
      <c r="P542" s="46">
        <f t="shared" ca="1" si="381"/>
        <v>0</v>
      </c>
      <c r="Q542" s="46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2" s="46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2" s="46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2" s="46">
        <f t="shared" ca="1" si="383"/>
        <v>0</v>
      </c>
      <c r="U542" s="46">
        <f t="shared" ca="1" si="384"/>
        <v>0</v>
      </c>
    </row>
    <row r="543" spans="1:21" ht="19.5" x14ac:dyDescent="0.3">
      <c r="A543" s="138"/>
      <c r="B543" s="139"/>
      <c r="C543" s="374" t="s">
        <v>18</v>
      </c>
      <c r="D543" s="140" t="s">
        <v>38</v>
      </c>
      <c r="E543" s="141"/>
      <c r="F543" s="141"/>
      <c r="G543" s="142"/>
      <c r="H543" s="143"/>
      <c r="I543" s="135"/>
      <c r="J543" s="44"/>
      <c r="K543" s="45"/>
      <c r="L543" s="4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f ca="1">IFERROR(__xludf.DUMMYFUNCTION("IMPORTRANGE(""https://docs.google.com/spreadsheets/d/1jTcq05yEiRwXcBMLjiodW9e4biSGYWAHcDj22rKWQ3s/edit?usp=sharing"",""กำแพงเพชร!I544"")+IMPORTRANGE(""https://docs.google.com/spreadsheets/d/1KS0zmDSZPk8KnTAbGN-Xk6MtX1YRZD0ldgdt20K4CRk/edit?usp=sharing"","&amp;"""เชียงราย!I544"")+IMPORTRANGE(""https://docs.google.com/spreadsheets/d/1rEDxBtusbi64tE0zunoIbsTVV16HeL0oJ6trHQeQ7K8/edit?usp=sharing"",""เชียงใหม่!I544"")+IMPORTRANGE(""https://docs.google.com/spreadsheets/d/1W6MnUbDkMi6xHnHko_XkFDO9kkuL6Wqyc-6OCDFjW9I/e"&amp;"dit?usp=sharing"",""ตาก!I544"")+IMPORTRANGE(""https://docs.google.com/spreadsheets/d/1IQAWArduLkta9LpYo4a_ULsyqdta6-6aDDiwpUnQT6c/edit?usp=sharing"",""นครสวรรค์!I544"")+IMPORTRANGE(""https://docs.google.com/spreadsheets/d/10s13Sk5xrltsiR-Zkbmk5DwIaDIKO8Xl"&amp;"bJAfqyT7Gvg/edit?usp=sharing"",""น่าน!I544"")+IMPORTRANGE(""https://docs.google.com/spreadsheets/d/1uu4nAn4Dbi1XREnLKKotUANlKXa7yCgRcgq8HEzQYW8/edit?usp=sharing"",""พะเยา!I544"")+IMPORTRANGE(""https://docs.google.com/spreadsheets/d/1xfJKIQxVOaPDIICqsflNlL"&amp;"u3JacTDk1FP9RH4phX7mI/edit?usp=sharing"",""พิจิตร!I544"")+IMPORTRANGE(""https://docs.google.com/spreadsheets/d/1JtRfZkJMHtEhI5RdRHxYUG4FIZHqKDpNyIuN7A1Q0_k/edit?usp=sharing"",""พิษณุโลก!I544"")+IMPORTRANGE(""https://docs.google.com/spreadsheets/d/1xlcVZWU"&amp;"Nn6SuWm0c307h32SiGkd9BaeQWlAktfD3KO8/edit?usp=sharing"",""เพชรบูรณ์!I544"")+IMPORTRANGE(""https://docs.google.com/spreadsheets/d/1lOVebEIsI9qjGXl6EX66luk7wiuP2tBaryw-wKvv4e0/edit?usp=sharing"",""แพร่!I544"")+IMPORTRANGE(""https://docs.google.com/spreadshe"&amp;"ets/d/1dQrvX0vEcN7Gu0fnZ0B5S90AeR19zth4XlExFBeExMY/edit?usp=sharing"",""แม่ฮ่องสอน!I544"")+IMPORTRANGE(""https://docs.google.com/spreadsheets/d/1DY4XTNNwjluuxqdfdn6qvOSlMRrZqUtmYcZR0ttFiG4/edit?usp=sharing"",""ลำปาง!I544"")+IMPORTRANGE(""https://docs.goog"&amp;"le.com/spreadsheets/d/1ICwG78r0OFT8biBlxnBF8r7she7gNSzOvJ958PWT09c/edit?usp=sharing"",""ลำพูน!I544"")+IMPORTRANGE(""https://docs.google.com/spreadsheets/d/1B0f2xJpZUC6Z0xXnqKlZtEPzsf6L84eP1r1Q15seqRM/edit?usp=sharing"",""สุโขทัย!I544"")+IMPORTRANGE(""http"&amp;"s://docs.google.com/spreadsheets/d/1v0b9pFQCsKUVExMei7AgY2yQkdeNQvtOssygGsXbiKo/edit?usp=sharing"",""อุตรดิตถ์!I544"")+IMPORTRANGE(""https://docs.google.com/spreadsheets/d/1UsNK1e-WWiCo2PvGqdNfdme4m17_Ezd3J69EeeiQPD0/edit?usp=sharing"",""อุทัยธานี!I544"")"),2)</f>
        <v>2</v>
      </c>
      <c r="J544" s="313">
        <f ca="1">IFERROR(__xludf.DUMMYFUNCTION("IMPORTRANGE(""https://docs.google.com/spreadsheets/d/1jTcq05yEiRwXcBMLjiodW9e4biSGYWAHcDj22rKWQ3s/edit?usp=sharing"",""กำแพงเพชร!J544"")+IMPORTRANGE(""https://docs.google.com/spreadsheets/d/1KS0zmDSZPk8KnTAbGN-Xk6MtX1YRZD0ldgdt20K4CRk/edit?usp=sharing"","&amp;"""เชียงราย!J544"")+IMPORTRANGE(""https://docs.google.com/spreadsheets/d/1rEDxBtusbi64tE0zunoIbsTVV16HeL0oJ6trHQeQ7K8/edit?usp=sharing"",""เชียงใหม่!J544"")+IMPORTRANGE(""https://docs.google.com/spreadsheets/d/1W6MnUbDkMi6xHnHko_XkFDO9kkuL6Wqyc-6OCDFjW9I/e"&amp;"dit?usp=sharing"",""ตาก!J544"")+IMPORTRANGE(""https://docs.google.com/spreadsheets/d/1IQAWArduLkta9LpYo4a_ULsyqdta6-6aDDiwpUnQT6c/edit?usp=sharing"",""นครสวรรค์!J544"")+IMPORTRANGE(""https://docs.google.com/spreadsheets/d/10s13Sk5xrltsiR-Zkbmk5DwIaDIKO8Xl"&amp;"bJAfqyT7Gvg/edit?usp=sharing"",""น่าน!J544"")+IMPORTRANGE(""https://docs.google.com/spreadsheets/d/1uu4nAn4Dbi1XREnLKKotUANlKXa7yCgRcgq8HEzQYW8/edit?usp=sharing"",""พะเยา!J544"")+IMPORTRANGE(""https://docs.google.com/spreadsheets/d/1xfJKIQxVOaPDIICqsflNlL"&amp;"u3JacTDk1FP9RH4phX7mI/edit?usp=sharing"",""พิจิตร!J544"")+IMPORTRANGE(""https://docs.google.com/spreadsheets/d/1JtRfZkJMHtEhI5RdRHxYUG4FIZHqKDpNyIuN7A1Q0_k/edit?usp=sharing"",""พิษณุโลก!J544"")+IMPORTRANGE(""https://docs.google.com/spreadsheets/d/1xlcVZWU"&amp;"Nn6SuWm0c307h32SiGkd9BaeQWlAktfD3KO8/edit?usp=sharing"",""เพชรบูรณ์!J544"")+IMPORTRANGE(""https://docs.google.com/spreadsheets/d/1lOVebEIsI9qjGXl6EX66luk7wiuP2tBaryw-wKvv4e0/edit?usp=sharing"",""แพร่!J544"")+IMPORTRANGE(""https://docs.google.com/spreadshe"&amp;"ets/d/1dQrvX0vEcN7Gu0fnZ0B5S90AeR19zth4XlExFBeExMY/edit?usp=sharing"",""แม่ฮ่องสอน!J544"")+IMPORTRANGE(""https://docs.google.com/spreadsheets/d/1DY4XTNNwjluuxqdfdn6qvOSlMRrZqUtmYcZR0ttFiG4/edit?usp=sharing"",""ลำปาง!J544"")+IMPORTRANGE(""https://docs.goog"&amp;"le.com/spreadsheets/d/1ICwG78r0OFT8biBlxnBF8r7she7gNSzOvJ958PWT09c/edit?usp=sharing"",""ลำพูน!J544"")+IMPORTRANGE(""https://docs.google.com/spreadsheets/d/1B0f2xJpZUC6Z0xXnqKlZtEPzsf6L84eP1r1Q15seqRM/edit?usp=sharing"",""สุโขทัย!J544"")+IMPORTRANGE(""http"&amp;"s://docs.google.com/spreadsheets/d/1v0b9pFQCsKUVExMei7AgY2yQkdeNQvtOssygGsXbiKo/edit?usp=sharing"",""อุตรดิตถ์!J544"")+IMPORTRANGE(""https://docs.google.com/spreadsheets/d/1UsNK1e-WWiCo2PvGqdNfdme4m17_Ezd3J69EeeiQPD0/edit?usp=sharing"",""อุทัยธานี!J544"")"),0)</f>
        <v>0</v>
      </c>
      <c r="K544" s="376">
        <f ca="1"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 t="shared" ref="I554:J554" ca="1" si="393">I565</f>
        <v>7</v>
      </c>
      <c r="J554" s="365">
        <f t="shared" ca="1" si="393"/>
        <v>0</v>
      </c>
      <c r="K554" s="366">
        <f ca="1">IF(I554&gt;0,J554*100/I554,0)</f>
        <v>0</v>
      </c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129" t="s">
        <v>18</v>
      </c>
      <c r="D555" s="13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2">
        <f t="shared" ref="L555:N555" ca="1" si="394">L556+L557</f>
        <v>8149000</v>
      </c>
      <c r="M555" s="132">
        <f t="shared" ca="1" si="394"/>
        <v>8095250</v>
      </c>
      <c r="N555" s="132">
        <f t="shared" ca="1" si="394"/>
        <v>1918850</v>
      </c>
      <c r="O555" s="132">
        <f t="shared" ref="O555:O563" ca="1" si="395">IF(L555&gt;0,N555*100/L555,0)</f>
        <v>23.547060989078414</v>
      </c>
      <c r="P555" s="132">
        <f t="shared" ref="P555:P563" ca="1" si="396">IF(M555&gt;0,N555*100/M555,0)</f>
        <v>23.70340631852012</v>
      </c>
      <c r="Q555" s="132">
        <f t="shared" ref="Q555:S555" ca="1" si="397">Q556+Q557</f>
        <v>0</v>
      </c>
      <c r="R555" s="132">
        <f t="shared" ca="1" si="397"/>
        <v>0</v>
      </c>
      <c r="S555" s="132">
        <f t="shared" ca="1" si="397"/>
        <v>0</v>
      </c>
      <c r="T555" s="132">
        <f t="shared" ref="T555:T563" ca="1" si="398">IF(Q555&gt;0,S555*100/Q555,0)</f>
        <v>0</v>
      </c>
      <c r="U555" s="132">
        <f t="shared" ref="U555:U563" ca="1" si="399"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8">
        <f t="shared" ref="L556:N556" ca="1" si="400">L559+L562</f>
        <v>0</v>
      </c>
      <c r="M556" s="48">
        <f t="shared" ca="1" si="400"/>
        <v>0</v>
      </c>
      <c r="N556" s="48">
        <f t="shared" ca="1" si="400"/>
        <v>0</v>
      </c>
      <c r="O556" s="48">
        <f t="shared" ca="1" si="395"/>
        <v>0</v>
      </c>
      <c r="P556" s="48">
        <f t="shared" ca="1" si="396"/>
        <v>0</v>
      </c>
      <c r="Q556" s="48">
        <f t="shared" ref="Q556:S556" ca="1" si="401">Q559+Q562</f>
        <v>0</v>
      </c>
      <c r="R556" s="48">
        <f t="shared" ca="1" si="401"/>
        <v>0</v>
      </c>
      <c r="S556" s="48">
        <f t="shared" ca="1" si="401"/>
        <v>0</v>
      </c>
      <c r="T556" s="48">
        <f t="shared" ca="1" si="398"/>
        <v>0</v>
      </c>
      <c r="U556" s="48">
        <f t="shared" ca="1" si="399"/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">
        <f t="shared" ref="L557:N557" ca="1" si="402">L560+L563</f>
        <v>8149000</v>
      </c>
      <c r="M557" s="46">
        <f t="shared" ca="1" si="402"/>
        <v>8095250</v>
      </c>
      <c r="N557" s="46">
        <f t="shared" ca="1" si="402"/>
        <v>1918850</v>
      </c>
      <c r="O557" s="46">
        <f t="shared" ca="1" si="395"/>
        <v>23.547060989078414</v>
      </c>
      <c r="P557" s="46">
        <f t="shared" ca="1" si="396"/>
        <v>23.70340631852012</v>
      </c>
      <c r="Q557" s="46">
        <f t="shared" ref="Q557:S557" ca="1" si="403">Q560+Q563</f>
        <v>0</v>
      </c>
      <c r="R557" s="46">
        <f t="shared" ca="1" si="403"/>
        <v>0</v>
      </c>
      <c r="S557" s="46">
        <f t="shared" ca="1" si="403"/>
        <v>0</v>
      </c>
      <c r="T557" s="46">
        <f t="shared" ca="1" si="398"/>
        <v>0</v>
      </c>
      <c r="U557" s="46">
        <f t="shared" ca="1" si="399"/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">
        <f t="shared" ref="L558:N558" ca="1" si="404">L559+L560</f>
        <v>0</v>
      </c>
      <c r="M558" s="46">
        <f t="shared" ca="1" si="404"/>
        <v>2400</v>
      </c>
      <c r="N558" s="46">
        <f t="shared" ca="1" si="404"/>
        <v>0</v>
      </c>
      <c r="O558" s="46">
        <f t="shared" ca="1" si="395"/>
        <v>0</v>
      </c>
      <c r="P558" s="46">
        <f t="shared" ca="1" si="396"/>
        <v>0</v>
      </c>
      <c r="Q558" s="46">
        <f t="shared" ref="Q558:S558" ca="1" si="405">Q559+Q560</f>
        <v>0</v>
      </c>
      <c r="R558" s="46">
        <f t="shared" ca="1" si="405"/>
        <v>0</v>
      </c>
      <c r="S558" s="46">
        <f t="shared" ca="1" si="405"/>
        <v>0</v>
      </c>
      <c r="T558" s="46">
        <f t="shared" ca="1" si="398"/>
        <v>0</v>
      </c>
      <c r="U558" s="46">
        <f t="shared" ca="1" si="399"/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8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59" s="48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59" s="48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59" s="48">
        <f t="shared" ca="1" si="395"/>
        <v>0</v>
      </c>
      <c r="P559" s="48">
        <f t="shared" ca="1" si="396"/>
        <v>0</v>
      </c>
      <c r="Q559" s="48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59" s="48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59" s="48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59" s="48">
        <f t="shared" ca="1" si="398"/>
        <v>0</v>
      </c>
      <c r="U559" s="48">
        <f t="shared" ca="1" si="399"/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0" s="46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2400)</f>
        <v>2400</v>
      </c>
      <c r="N560" s="46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0" s="46">
        <f t="shared" ca="1" si="395"/>
        <v>0</v>
      </c>
      <c r="P560" s="46">
        <f t="shared" ca="1" si="396"/>
        <v>0</v>
      </c>
      <c r="Q560" s="46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0" s="46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0" s="46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0" s="46">
        <f t="shared" ca="1" si="398"/>
        <v>0</v>
      </c>
      <c r="U560" s="46">
        <f t="shared" ca="1" si="399"/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">
        <f t="shared" ref="L561:N561" ca="1" si="406">L562+L563</f>
        <v>8149000</v>
      </c>
      <c r="M561" s="46">
        <f t="shared" ca="1" si="406"/>
        <v>8092850</v>
      </c>
      <c r="N561" s="46">
        <f t="shared" ca="1" si="406"/>
        <v>1918850</v>
      </c>
      <c r="O561" s="46">
        <f t="shared" ca="1" si="395"/>
        <v>23.547060989078414</v>
      </c>
      <c r="P561" s="46">
        <f t="shared" ca="1" si="396"/>
        <v>23.71043575501832</v>
      </c>
      <c r="Q561" s="46">
        <f t="shared" ref="Q561:S561" ca="1" si="407">Q562+Q563</f>
        <v>0</v>
      </c>
      <c r="R561" s="46">
        <f t="shared" ca="1" si="407"/>
        <v>0</v>
      </c>
      <c r="S561" s="46">
        <f t="shared" ca="1" si="407"/>
        <v>0</v>
      </c>
      <c r="T561" s="46">
        <f t="shared" ca="1" si="398"/>
        <v>0</v>
      </c>
      <c r="U561" s="46">
        <f t="shared" ca="1" si="399"/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8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2" s="48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2" s="48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2" s="48">
        <f t="shared" ca="1" si="395"/>
        <v>0</v>
      </c>
      <c r="P562" s="48">
        <f t="shared" ca="1" si="396"/>
        <v>0</v>
      </c>
      <c r="Q562" s="48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2" s="48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2" s="48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2" s="48">
        <f t="shared" ca="1" si="398"/>
        <v>0</v>
      </c>
      <c r="U562" s="48">
        <f t="shared" ca="1" si="399"/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8149000)</f>
        <v>8149000</v>
      </c>
      <c r="M563" s="46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8092850)</f>
        <v>8092850</v>
      </c>
      <c r="N563" s="46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1918850)</f>
        <v>1918850</v>
      </c>
      <c r="O563" s="46">
        <f t="shared" ca="1" si="395"/>
        <v>23.547060989078414</v>
      </c>
      <c r="P563" s="46">
        <f t="shared" ca="1" si="396"/>
        <v>23.71043575501832</v>
      </c>
      <c r="Q563" s="46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3" s="46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3" s="46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3" s="46">
        <f t="shared" ca="1" si="398"/>
        <v>0</v>
      </c>
      <c r="U563" s="46">
        <f t="shared" ca="1" si="399"/>
        <v>0</v>
      </c>
    </row>
    <row r="564" spans="1:21" ht="19.5" x14ac:dyDescent="0.3">
      <c r="A564" s="138"/>
      <c r="B564" s="139"/>
      <c r="C564" s="374" t="s">
        <v>18</v>
      </c>
      <c r="D564" s="140" t="s">
        <v>38</v>
      </c>
      <c r="E564" s="141"/>
      <c r="F564" s="141"/>
      <c r="G564" s="142"/>
      <c r="H564" s="143"/>
      <c r="I564" s="135"/>
      <c r="J564" s="44"/>
      <c r="K564" s="45"/>
      <c r="L564" s="4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f ca="1">IFERROR(__xludf.DUMMYFUNCTION("IMPORTRANGE(""https://docs.google.com/spreadsheets/d/10s13Sk5xrltsiR-Zkbmk5DwIaDIKO8XlbJAfqyT7Gvg/edit?usp=sharing"",""น่าน!I565"")+IMPORTRANGE(""https://docs.google.com/spreadsheets/d/1uu4nAn4Dbi1XREnLKKotUANlKXa7yCgRcgq8HEzQYW8/edit?usp=sharing"",""พะเย"&amp;"า!I565"")+IMPORTRANGE(""https://docs.google.com/spreadsheets/d/1dQrvX0vEcN7Gu0fnZ0B5S90AeR19zth4XlExFBeExMY/edit?usp=sharing"",""แม่ฮ่องสอน!I565"")"),7)</f>
        <v>7</v>
      </c>
      <c r="J565" s="377">
        <f ca="1">IFERROR(__xludf.DUMMYFUNCTION("IMPORTRANGE(""https://docs.google.com/spreadsheets/d/10s13Sk5xrltsiR-Zkbmk5DwIaDIKO8XlbJAfqyT7Gvg/edit?usp=sharing"",""น่าน!J565"")+IMPORTRANGE(""https://docs.google.com/spreadsheets/d/1uu4nAn4Dbi1XREnLKKotUANlKXa7yCgRcgq8HEzQYW8/edit?usp=sharing"",""พะเย"&amp;"า!J565"")+IMPORTRANGE(""https://docs.google.com/spreadsheets/d/1dQrvX0vEcN7Gu0fnZ0B5S90AeR19zth4XlExFBeExMY/edit?usp=sharing"",""แม่ฮ่องสอน!J565"")"),0)</f>
        <v>0</v>
      </c>
      <c r="K565" s="376">
        <f ca="1"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 t="shared" ref="I575:J575" ca="1" si="408">I587</f>
        <v>64</v>
      </c>
      <c r="J575" s="365">
        <f t="shared" ca="1" si="408"/>
        <v>39</v>
      </c>
      <c r="K575" s="366">
        <f ca="1">IF(I575&gt;0,J575*100/I575,0)</f>
        <v>60.9375</v>
      </c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129" t="s">
        <v>18</v>
      </c>
      <c r="D576" s="13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2">
        <f t="shared" ref="L576:N576" ca="1" si="409">L577+L578</f>
        <v>3404267</v>
      </c>
      <c r="M576" s="132">
        <f t="shared" ca="1" si="409"/>
        <v>3326270</v>
      </c>
      <c r="N576" s="132">
        <f t="shared" ca="1" si="409"/>
        <v>1495501</v>
      </c>
      <c r="O576" s="132">
        <f t="shared" ref="O576:O584" ca="1" si="410">IF(L576&gt;0,N576*100/L576,0)</f>
        <v>43.930191139531651</v>
      </c>
      <c r="P576" s="132">
        <f t="shared" ref="P576:P584" ca="1" si="411">IF(M576&gt;0,N576*100/M576,0)</f>
        <v>44.960300877559547</v>
      </c>
      <c r="Q576" s="132">
        <f t="shared" ref="Q576:S576" ca="1" si="412">Q577+Q578</f>
        <v>0</v>
      </c>
      <c r="R576" s="132">
        <f t="shared" ca="1" si="412"/>
        <v>0</v>
      </c>
      <c r="S576" s="132">
        <f t="shared" ca="1" si="412"/>
        <v>0</v>
      </c>
      <c r="T576" s="132">
        <f t="shared" ref="T576:T584" ca="1" si="413">IF(Q576&gt;0,S576*100/Q576,0)</f>
        <v>0</v>
      </c>
      <c r="U576" s="132">
        <f t="shared" ref="U576:U584" ca="1" si="414"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8">
        <f t="shared" ref="L577:N577" ca="1" si="415">L580+L583</f>
        <v>0</v>
      </c>
      <c r="M577" s="48">
        <f t="shared" ca="1" si="415"/>
        <v>0</v>
      </c>
      <c r="N577" s="48">
        <f t="shared" ca="1" si="415"/>
        <v>0</v>
      </c>
      <c r="O577" s="48">
        <f t="shared" ca="1" si="410"/>
        <v>0</v>
      </c>
      <c r="P577" s="48">
        <f t="shared" ca="1" si="411"/>
        <v>0</v>
      </c>
      <c r="Q577" s="48">
        <f t="shared" ref="Q577:S577" ca="1" si="416">Q580+Q583</f>
        <v>0</v>
      </c>
      <c r="R577" s="48">
        <f t="shared" ca="1" si="416"/>
        <v>0</v>
      </c>
      <c r="S577" s="48">
        <f t="shared" ca="1" si="416"/>
        <v>0</v>
      </c>
      <c r="T577" s="48">
        <f t="shared" ca="1" si="413"/>
        <v>0</v>
      </c>
      <c r="U577" s="48">
        <f t="shared" ca="1" si="414"/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">
        <f t="shared" ref="L578:N578" ca="1" si="417">L581+L584</f>
        <v>3404267</v>
      </c>
      <c r="M578" s="46">
        <f t="shared" ca="1" si="417"/>
        <v>3326270</v>
      </c>
      <c r="N578" s="46">
        <f t="shared" ca="1" si="417"/>
        <v>1495501</v>
      </c>
      <c r="O578" s="46">
        <f t="shared" ca="1" si="410"/>
        <v>43.930191139531651</v>
      </c>
      <c r="P578" s="46">
        <f t="shared" ca="1" si="411"/>
        <v>44.960300877559547</v>
      </c>
      <c r="Q578" s="46">
        <f t="shared" ref="Q578:S578" ca="1" si="418">Q581+Q584</f>
        <v>0</v>
      </c>
      <c r="R578" s="46">
        <f t="shared" ca="1" si="418"/>
        <v>0</v>
      </c>
      <c r="S578" s="46">
        <f t="shared" ca="1" si="418"/>
        <v>0</v>
      </c>
      <c r="T578" s="46">
        <f t="shared" ca="1" si="413"/>
        <v>0</v>
      </c>
      <c r="U578" s="46">
        <f t="shared" ca="1" si="414"/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">
        <f t="shared" ref="L579:N579" ca="1" si="419">L580+L581</f>
        <v>3404267</v>
      </c>
      <c r="M579" s="46">
        <f t="shared" ca="1" si="419"/>
        <v>3326270</v>
      </c>
      <c r="N579" s="46">
        <f t="shared" ca="1" si="419"/>
        <v>1495501</v>
      </c>
      <c r="O579" s="46">
        <f t="shared" ca="1" si="410"/>
        <v>43.930191139531651</v>
      </c>
      <c r="P579" s="46">
        <f t="shared" ca="1" si="411"/>
        <v>44.960300877559547</v>
      </c>
      <c r="Q579" s="46">
        <f t="shared" ref="Q579:S579" ca="1" si="420">Q580+Q581</f>
        <v>0</v>
      </c>
      <c r="R579" s="46">
        <f t="shared" ca="1" si="420"/>
        <v>0</v>
      </c>
      <c r="S579" s="46">
        <f t="shared" ca="1" si="420"/>
        <v>0</v>
      </c>
      <c r="T579" s="46">
        <f t="shared" ca="1" si="413"/>
        <v>0</v>
      </c>
      <c r="U579" s="46">
        <f t="shared" ca="1" si="414"/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8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0" s="48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0" s="48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0" s="48">
        <f t="shared" ca="1" si="410"/>
        <v>0</v>
      </c>
      <c r="P580" s="48">
        <f t="shared" ca="1" si="411"/>
        <v>0</v>
      </c>
      <c r="Q580" s="48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0" s="48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0" s="48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0" s="48">
        <f t="shared" ca="1" si="413"/>
        <v>0</v>
      </c>
      <c r="U580" s="48">
        <f t="shared" ca="1" si="414"/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3404267)</f>
        <v>3404267</v>
      </c>
      <c r="M581" s="46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3326270)</f>
        <v>3326270</v>
      </c>
      <c r="N581" s="46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1495501)</f>
        <v>1495501</v>
      </c>
      <c r="O581" s="46">
        <f t="shared" ca="1" si="410"/>
        <v>43.930191139531651</v>
      </c>
      <c r="P581" s="46">
        <f t="shared" ca="1" si="411"/>
        <v>44.960300877559547</v>
      </c>
      <c r="Q581" s="46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1" s="46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1" s="46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1" s="46">
        <f t="shared" ca="1" si="413"/>
        <v>0</v>
      </c>
      <c r="U581" s="46">
        <f t="shared" ca="1" si="414"/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">
        <f t="shared" ref="L582:N582" ca="1" si="421">L583+L584</f>
        <v>0</v>
      </c>
      <c r="M582" s="46">
        <f t="shared" ca="1" si="421"/>
        <v>0</v>
      </c>
      <c r="N582" s="46">
        <f t="shared" ca="1" si="421"/>
        <v>0</v>
      </c>
      <c r="O582" s="46">
        <f t="shared" ca="1" si="410"/>
        <v>0</v>
      </c>
      <c r="P582" s="46">
        <f t="shared" ca="1" si="411"/>
        <v>0</v>
      </c>
      <c r="Q582" s="46">
        <f t="shared" ref="Q582:S582" ca="1" si="422">Q583+Q584</f>
        <v>0</v>
      </c>
      <c r="R582" s="46">
        <f t="shared" ca="1" si="422"/>
        <v>0</v>
      </c>
      <c r="S582" s="46">
        <f t="shared" ca="1" si="422"/>
        <v>0</v>
      </c>
      <c r="T582" s="46">
        <f t="shared" ca="1" si="413"/>
        <v>0</v>
      </c>
      <c r="U582" s="46">
        <f t="shared" ca="1" si="414"/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8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3" s="48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3" s="48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3" s="48">
        <f t="shared" ca="1" si="410"/>
        <v>0</v>
      </c>
      <c r="P583" s="48">
        <f t="shared" ca="1" si="411"/>
        <v>0</v>
      </c>
      <c r="Q583" s="48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3" s="48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3" s="48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3" s="48">
        <f t="shared" ca="1" si="413"/>
        <v>0</v>
      </c>
      <c r="U583" s="48">
        <f t="shared" ca="1" si="414"/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4" s="46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4" s="46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4" s="46">
        <f t="shared" ca="1" si="410"/>
        <v>0</v>
      </c>
      <c r="P584" s="46">
        <f t="shared" ca="1" si="411"/>
        <v>0</v>
      </c>
      <c r="Q584" s="46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4" s="46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4" s="46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4" s="46">
        <f t="shared" ca="1" si="413"/>
        <v>0</v>
      </c>
      <c r="U584" s="46">
        <f t="shared" ca="1" si="414"/>
        <v>0</v>
      </c>
    </row>
    <row r="585" spans="1:21" ht="19.5" x14ac:dyDescent="0.3">
      <c r="A585" s="138"/>
      <c r="B585" s="139"/>
      <c r="C585" s="374" t="s">
        <v>18</v>
      </c>
      <c r="D585" s="140" t="s">
        <v>38</v>
      </c>
      <c r="E585" s="141"/>
      <c r="F585" s="141"/>
      <c r="G585" s="142"/>
      <c r="H585" s="143"/>
      <c r="I585" s="135"/>
      <c r="J585" s="44"/>
      <c r="K585" s="45"/>
      <c r="L585" s="4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f ca="1">IFERROR(__xludf.DUMMYFUNCTION("IMPORTRANGE(""https://docs.google.com/spreadsheets/d/1W6MnUbDkMi6xHnHko_XkFDO9kkuL6Wqyc-6OCDFjW9I/edit?usp=sharing"",""ตาก!I586"")+IMPORTRANGE(""https://docs.google.com/spreadsheets/d/1IQAWArduLkta9LpYo4a_ULsyqdta6-6aDDiwpUnQT6c/edit?usp=sharing"",""นครสว"&amp;"รรค์!I586"")+IMPORTRANGE(""https://docs.google.com/spreadsheets/d/10s13Sk5xrltsiR-Zkbmk5DwIaDIKO8XlbJAfqyT7Gvg/edit?usp=sharing"",""น่าน!I586"")+IMPORTRANGE(""https://docs.google.com/spreadsheets/d/1uu4nAn4Dbi1XREnLKKotUANlKXa7yCgRcgq8HEzQYW8/edit?usp=sha"&amp;"ring"",""พะเยา!I586"")+IMPORTRANGE(""https://docs.google.com/spreadsheets/d/1lOVebEIsI9qjGXl6EX66luk7wiuP2tBaryw-wKvv4e0/edit?usp=sharing"",""แพร่!I586"")+IMPORTRANGE(""https://docs.google.com/spreadsheets/d/1dQrvX0vEcN7Gu0fnZ0B5S90AeR19zth4XlExFBeExMY/ed"&amp;"it?usp=sharing"",""แม่ฮ่องสอน!I586"")+IMPORTRANGE(""https://docs.google.com/spreadsheets/d/1DY4XTNNwjluuxqdfdn6qvOSlMRrZqUtmYcZR0ttFiG4/edit?usp=sharing"",""ลำปาง!I586"")+IMPORTRANGE(""https://docs.google.com/spreadsheets/d/1B0f2xJpZUC6Z0xXnqKlZtEPzsf6L84"&amp;"eP1r1Q15seqRM/edit?usp=sharing"",""สุโขทัย!I586"")"),32)</f>
        <v>32</v>
      </c>
      <c r="J586" s="377">
        <f ca="1">IFERROR(__xludf.DUMMYFUNCTION("IMPORTRANGE(""https://docs.google.com/spreadsheets/d/1W6MnUbDkMi6xHnHko_XkFDO9kkuL6Wqyc-6OCDFjW9I/edit?usp=sharing"",""ตาก!J586"")+IMPORTRANGE(""https://docs.google.com/spreadsheets/d/1IQAWArduLkta9LpYo4a_ULsyqdta6-6aDDiwpUnQT6c/edit?usp=sharing"",""นครสว"&amp;"รรค์!J586"")+IMPORTRANGE(""https://docs.google.com/spreadsheets/d/10s13Sk5xrltsiR-Zkbmk5DwIaDIKO8XlbJAfqyT7Gvg/edit?usp=sharing"",""น่าน!J586"")+IMPORTRANGE(""https://docs.google.com/spreadsheets/d/1uu4nAn4Dbi1XREnLKKotUANlKXa7yCgRcgq8HEzQYW8/edit?usp=sha"&amp;"ring"",""พะเยา!J586"")+IMPORTRANGE(""https://docs.google.com/spreadsheets/d/1lOVebEIsI9qjGXl6EX66luk7wiuP2tBaryw-wKvv4e0/edit?usp=sharing"",""แพร่!J586"")+IMPORTRANGE(""https://docs.google.com/spreadsheets/d/1dQrvX0vEcN7Gu0fnZ0B5S90AeR19zth4XlExFBeExMY/ed"&amp;"it?usp=sharing"",""แม่ฮ่องสอน!J586"")+IMPORTRANGE(""https://docs.google.com/spreadsheets/d/1DY4XTNNwjluuxqdfdn6qvOSlMRrZqUtmYcZR0ttFiG4/edit?usp=sharing"",""ลำปาง!J586"")+IMPORTRANGE(""https://docs.google.com/spreadsheets/d/1B0f2xJpZUC6Z0xXnqKlZtEPzsf6L84"&amp;"eP1r1Q15seqRM/edit?usp=sharing"",""สุโขทัย!J586"")"),18)</f>
        <v>18</v>
      </c>
      <c r="K586" s="376">
        <f t="shared" ref="K586:K587" ca="1" si="423">IF(I586&gt;0,J586*100/I586,0)</f>
        <v>56.25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f ca="1">IFERROR(__xludf.DUMMYFUNCTION("IMPORTRANGE(""https://docs.google.com/spreadsheets/d/1W6MnUbDkMi6xHnHko_XkFDO9kkuL6Wqyc-6OCDFjW9I/edit?usp=sharing"",""ตาก!I587"")+IMPORTRANGE(""https://docs.google.com/spreadsheets/d/1IQAWArduLkta9LpYo4a_ULsyqdta6-6aDDiwpUnQT6c/edit?usp=sharing"",""นครสว"&amp;"รรค์!I587"")+IMPORTRANGE(""https://docs.google.com/spreadsheets/d/10s13Sk5xrltsiR-Zkbmk5DwIaDIKO8XlbJAfqyT7Gvg/edit?usp=sharing"",""น่าน!I587"")+IMPORTRANGE(""https://docs.google.com/spreadsheets/d/1uu4nAn4Dbi1XREnLKKotUANlKXa7yCgRcgq8HEzQYW8/edit?usp=sha"&amp;"ring"",""พะเยา!I587"")+IMPORTRANGE(""https://docs.google.com/spreadsheets/d/1lOVebEIsI9qjGXl6EX66luk7wiuP2tBaryw-wKvv4e0/edit?usp=sharing"",""แพร่!I587"")+IMPORTRANGE(""https://docs.google.com/spreadsheets/d/1dQrvX0vEcN7Gu0fnZ0B5S90AeR19zth4XlExFBeExMY/ed"&amp;"it?usp=sharing"",""แม่ฮ่องสอน!I587"")+IMPORTRANGE(""https://docs.google.com/spreadsheets/d/1DY4XTNNwjluuxqdfdn6qvOSlMRrZqUtmYcZR0ttFiG4/edit?usp=sharing"",""ลำปาง!I587"")+IMPORTRANGE(""https://docs.google.com/spreadsheets/d/1B0f2xJpZUC6Z0xXnqKlZtEPzsf6L84"&amp;"eP1r1Q15seqRM/edit?usp=sharing"",""สุโขทัย!I587"")"),64)</f>
        <v>64</v>
      </c>
      <c r="J587" s="380">
        <f ca="1">IFERROR(__xludf.DUMMYFUNCTION("IMPORTRANGE(""https://docs.google.com/spreadsheets/d/1W6MnUbDkMi6xHnHko_XkFDO9kkuL6Wqyc-6OCDFjW9I/edit?usp=sharing"",""ตาก!J587"")+IMPORTRANGE(""https://docs.google.com/spreadsheets/d/1IQAWArduLkta9LpYo4a_ULsyqdta6-6aDDiwpUnQT6c/edit?usp=sharing"",""นครสว"&amp;"รรค์!J587"")+IMPORTRANGE(""https://docs.google.com/spreadsheets/d/10s13Sk5xrltsiR-Zkbmk5DwIaDIKO8XlbJAfqyT7Gvg/edit?usp=sharing"",""น่าน!J587"")+IMPORTRANGE(""https://docs.google.com/spreadsheets/d/1uu4nAn4Dbi1XREnLKKotUANlKXa7yCgRcgq8HEzQYW8/edit?usp=sha"&amp;"ring"",""พะเยา!J587"")+IMPORTRANGE(""https://docs.google.com/spreadsheets/d/1lOVebEIsI9qjGXl6EX66luk7wiuP2tBaryw-wKvv4e0/edit?usp=sharing"",""แพร่!J587"")+IMPORTRANGE(""https://docs.google.com/spreadsheets/d/1dQrvX0vEcN7Gu0fnZ0B5S90AeR19zth4XlExFBeExMY/ed"&amp;"it?usp=sharing"",""แม่ฮ่องสอน!J587"")+IMPORTRANGE(""https://docs.google.com/spreadsheets/d/1DY4XTNNwjluuxqdfdn6qvOSlMRrZqUtmYcZR0ttFiG4/edit?usp=sharing"",""ลำปาง!J587"")+IMPORTRANGE(""https://docs.google.com/spreadsheets/d/1B0f2xJpZUC6Z0xXnqKlZtEPzsf6L84"&amp;"eP1r1Q15seqRM/edit?usp=sharing"",""สุโขทัย!J587"")"),39)</f>
        <v>39</v>
      </c>
      <c r="K587" s="224">
        <f t="shared" ca="1" si="423"/>
        <v>60.9375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327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403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408">
        <f t="shared" ref="L599:N599" ca="1" si="424">L600+L601</f>
        <v>104017</v>
      </c>
      <c r="M599" s="408">
        <f t="shared" ca="1" si="424"/>
        <v>104017</v>
      </c>
      <c r="N599" s="408">
        <f t="shared" ca="1" si="424"/>
        <v>46156</v>
      </c>
      <c r="O599" s="408">
        <f t="shared" ref="O599:O607" ca="1" si="425">IF(L599&gt;0,N599*100/L599,0)</f>
        <v>44.373515867598563</v>
      </c>
      <c r="P599" s="408">
        <f t="shared" ref="P599:P607" ca="1" si="426">IF(M599&gt;0,N599*100/M599,0)</f>
        <v>44.373515867598563</v>
      </c>
      <c r="Q599" s="408">
        <f t="shared" ref="Q599:S599" ca="1" si="427">Q600+Q601</f>
        <v>0</v>
      </c>
      <c r="R599" s="408">
        <f t="shared" ca="1" si="427"/>
        <v>0</v>
      </c>
      <c r="S599" s="408">
        <f t="shared" ca="1" si="427"/>
        <v>0</v>
      </c>
      <c r="T599" s="408">
        <f t="shared" ref="T599:T607" ca="1" si="428">IF(Q599&gt;0,S599*100/Q599,0)</f>
        <v>0</v>
      </c>
      <c r="U599" s="408">
        <f t="shared" ref="U599:U607" ca="1" si="429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414">
        <f t="shared" ref="L600:N600" ca="1" si="430">L603+L606</f>
        <v>0</v>
      </c>
      <c r="M600" s="414">
        <f t="shared" ca="1" si="430"/>
        <v>0</v>
      </c>
      <c r="N600" s="414">
        <f t="shared" ca="1" si="430"/>
        <v>0</v>
      </c>
      <c r="O600" s="414">
        <f t="shared" ca="1" si="425"/>
        <v>0</v>
      </c>
      <c r="P600" s="414">
        <f t="shared" ca="1" si="426"/>
        <v>0</v>
      </c>
      <c r="Q600" s="414">
        <f t="shared" ref="Q600:S600" ca="1" si="431">Q603+Q606</f>
        <v>0</v>
      </c>
      <c r="R600" s="414">
        <f t="shared" ca="1" si="431"/>
        <v>0</v>
      </c>
      <c r="S600" s="414">
        <f t="shared" ca="1" si="431"/>
        <v>0</v>
      </c>
      <c r="T600" s="414">
        <f t="shared" ca="1" si="428"/>
        <v>0</v>
      </c>
      <c r="U600" s="414">
        <f t="shared" ca="1" si="429"/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414">
        <f t="shared" ref="L601:N601" ca="1" si="432">L604+L607</f>
        <v>104017</v>
      </c>
      <c r="M601" s="414">
        <f t="shared" ca="1" si="432"/>
        <v>104017</v>
      </c>
      <c r="N601" s="414">
        <f t="shared" ca="1" si="432"/>
        <v>46156</v>
      </c>
      <c r="O601" s="414">
        <f t="shared" ca="1" si="425"/>
        <v>44.373515867598563</v>
      </c>
      <c r="P601" s="414">
        <f t="shared" ca="1" si="426"/>
        <v>44.373515867598563</v>
      </c>
      <c r="Q601" s="414">
        <f t="shared" ref="Q601:S601" ca="1" si="433">Q604+Q607</f>
        <v>0</v>
      </c>
      <c r="R601" s="414">
        <f t="shared" ca="1" si="433"/>
        <v>0</v>
      </c>
      <c r="S601" s="414">
        <f t="shared" ca="1" si="433"/>
        <v>0</v>
      </c>
      <c r="T601" s="414">
        <f t="shared" ca="1" si="428"/>
        <v>0</v>
      </c>
      <c r="U601" s="414">
        <f t="shared" ca="1" si="429"/>
        <v>0</v>
      </c>
    </row>
    <row r="602" spans="1:21" ht="19.5" x14ac:dyDescent="0.3">
      <c r="A602" s="401"/>
      <c r="B602" s="402"/>
      <c r="C602" s="402"/>
      <c r="D602" s="415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414">
        <f t="shared" ref="L602:N602" ca="1" si="434">L603+L604</f>
        <v>104017</v>
      </c>
      <c r="M602" s="414">
        <f t="shared" ca="1" si="434"/>
        <v>104017</v>
      </c>
      <c r="N602" s="414">
        <f t="shared" ca="1" si="434"/>
        <v>46156</v>
      </c>
      <c r="O602" s="414">
        <f t="shared" ca="1" si="425"/>
        <v>44.373515867598563</v>
      </c>
      <c r="P602" s="414">
        <f t="shared" ca="1" si="426"/>
        <v>44.373515867598563</v>
      </c>
      <c r="Q602" s="414">
        <f t="shared" ref="Q602:S602" ca="1" si="435">Q603+Q604</f>
        <v>0</v>
      </c>
      <c r="R602" s="414">
        <f t="shared" ca="1" si="435"/>
        <v>0</v>
      </c>
      <c r="S602" s="414">
        <f t="shared" ca="1" si="435"/>
        <v>0</v>
      </c>
      <c r="T602" s="414">
        <f t="shared" ca="1" si="428"/>
        <v>0</v>
      </c>
      <c r="U602" s="414">
        <f t="shared" ca="1" si="429"/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414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3" s="414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3" s="414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3" s="414">
        <f t="shared" ca="1" si="425"/>
        <v>0</v>
      </c>
      <c r="P603" s="414">
        <f t="shared" ca="1" si="426"/>
        <v>0</v>
      </c>
      <c r="Q603" s="414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3" s="414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3" s="414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3" s="414">
        <f t="shared" ca="1" si="428"/>
        <v>0</v>
      </c>
      <c r="U603" s="414">
        <f t="shared" ca="1" si="429"/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414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104017)</f>
        <v>104017</v>
      </c>
      <c r="M604" s="414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104017)</f>
        <v>104017</v>
      </c>
      <c r="N604" s="414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46156)</f>
        <v>46156</v>
      </c>
      <c r="O604" s="414">
        <f t="shared" ca="1" si="425"/>
        <v>44.373515867598563</v>
      </c>
      <c r="P604" s="414">
        <f t="shared" ca="1" si="426"/>
        <v>44.373515867598563</v>
      </c>
      <c r="Q604" s="414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4" s="414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4" s="414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4" s="414">
        <f t="shared" ca="1" si="428"/>
        <v>0</v>
      </c>
      <c r="U604" s="414">
        <f t="shared" ca="1" si="429"/>
        <v>0</v>
      </c>
    </row>
    <row r="605" spans="1:21" ht="19.5" x14ac:dyDescent="0.3">
      <c r="A605" s="401"/>
      <c r="B605" s="402"/>
      <c r="C605" s="402"/>
      <c r="D605" s="415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414">
        <f t="shared" ref="L605:N605" ca="1" si="436">L606+L607</f>
        <v>0</v>
      </c>
      <c r="M605" s="414">
        <f t="shared" ca="1" si="436"/>
        <v>0</v>
      </c>
      <c r="N605" s="414">
        <f t="shared" ca="1" si="436"/>
        <v>0</v>
      </c>
      <c r="O605" s="414">
        <f t="shared" ca="1" si="425"/>
        <v>0</v>
      </c>
      <c r="P605" s="414">
        <f t="shared" ca="1" si="426"/>
        <v>0</v>
      </c>
      <c r="Q605" s="414">
        <f t="shared" ref="Q605:S605" ca="1" si="437">Q606+Q607</f>
        <v>0</v>
      </c>
      <c r="R605" s="414">
        <f t="shared" ca="1" si="437"/>
        <v>0</v>
      </c>
      <c r="S605" s="414">
        <f t="shared" ca="1" si="437"/>
        <v>0</v>
      </c>
      <c r="T605" s="414">
        <f t="shared" ca="1" si="428"/>
        <v>0</v>
      </c>
      <c r="U605" s="414">
        <f t="shared" ca="1" si="429"/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414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6" s="414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6" s="414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6" s="414">
        <f t="shared" ca="1" si="425"/>
        <v>0</v>
      </c>
      <c r="P606" s="414">
        <f t="shared" ca="1" si="426"/>
        <v>0</v>
      </c>
      <c r="Q606" s="414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6" s="414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6" s="414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6" s="414">
        <f t="shared" ca="1" si="428"/>
        <v>0</v>
      </c>
      <c r="U606" s="414">
        <f t="shared" ca="1" si="429"/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414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7" s="414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7" s="414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7" s="414">
        <f t="shared" ca="1" si="425"/>
        <v>0</v>
      </c>
      <c r="P607" s="414">
        <f t="shared" ca="1" si="426"/>
        <v>0</v>
      </c>
      <c r="Q607" s="414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7" s="414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7" s="414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7" s="414">
        <f t="shared" ca="1" si="428"/>
        <v>0</v>
      </c>
      <c r="U607" s="414">
        <f t="shared" ca="1" si="429"/>
        <v>0</v>
      </c>
    </row>
    <row r="608" spans="1:21" ht="19.5" x14ac:dyDescent="0.3">
      <c r="A608" s="421"/>
      <c r="B608" s="422"/>
      <c r="C608" s="403" t="s">
        <v>18</v>
      </c>
      <c r="D608" s="423" t="s">
        <v>38</v>
      </c>
      <c r="E608" s="424"/>
      <c r="F608" s="424"/>
      <c r="G608" s="425"/>
      <c r="H608" s="426"/>
      <c r="I608" s="416"/>
      <c r="J608" s="416"/>
      <c r="K608" s="41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8.75" hidden="1" x14ac:dyDescent="0.25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437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444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45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452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457">
        <f t="shared" ref="I615:J615" ca="1" si="438">I626</f>
        <v>700</v>
      </c>
      <c r="J615" s="457">
        <f t="shared" ca="1" si="438"/>
        <v>0</v>
      </c>
      <c r="K615" s="458">
        <f ca="1">IF(I615&gt;0,J615*100/I615,0)</f>
        <v>0</v>
      </c>
      <c r="L615" s="459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177" t="s">
        <v>18</v>
      </c>
      <c r="D616" s="528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132">
        <f t="shared" ref="L616:N616" ca="1" si="439">L617+L618</f>
        <v>0</v>
      </c>
      <c r="M616" s="132">
        <f t="shared" ca="1" si="439"/>
        <v>0</v>
      </c>
      <c r="N616" s="132">
        <f t="shared" ca="1" si="439"/>
        <v>0</v>
      </c>
      <c r="O616" s="132">
        <f t="shared" ref="O616:O624" ca="1" si="440">IF(L616&gt;0,N616*100/L616,0)</f>
        <v>0</v>
      </c>
      <c r="P616" s="132">
        <f t="shared" ref="P616:P624" ca="1" si="441">IF(M616&gt;0,N616*100/M616,0)</f>
        <v>0</v>
      </c>
      <c r="Q616" s="132">
        <f t="shared" ref="Q616:S616" ca="1" si="442">Q617+Q618</f>
        <v>101100</v>
      </c>
      <c r="R616" s="132">
        <f t="shared" ca="1" si="442"/>
        <v>97250</v>
      </c>
      <c r="S616" s="132">
        <f t="shared" ca="1" si="442"/>
        <v>27524</v>
      </c>
      <c r="T616" s="132">
        <f t="shared" ref="T616:T624" ca="1" si="443">IF(Q616&gt;0,S616*100/Q616,0)</f>
        <v>27.224530168150345</v>
      </c>
      <c r="U616" s="132">
        <f t="shared" ref="U616:U624" ca="1" si="444">IF(R616&gt;0,S616*100/R616,0)</f>
        <v>28.302313624678664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48">
        <f t="shared" ref="L617:N617" ca="1" si="445">L620+L623</f>
        <v>0</v>
      </c>
      <c r="M617" s="48">
        <f t="shared" ca="1" si="445"/>
        <v>0</v>
      </c>
      <c r="N617" s="48">
        <f t="shared" ca="1" si="445"/>
        <v>0</v>
      </c>
      <c r="O617" s="48">
        <f t="shared" ca="1" si="440"/>
        <v>0</v>
      </c>
      <c r="P617" s="48">
        <f t="shared" ca="1" si="441"/>
        <v>0</v>
      </c>
      <c r="Q617" s="48">
        <f t="shared" ref="Q617:S617" ca="1" si="446">Q620+Q623</f>
        <v>0</v>
      </c>
      <c r="R617" s="48">
        <f t="shared" ca="1" si="446"/>
        <v>0</v>
      </c>
      <c r="S617" s="48">
        <f t="shared" ca="1" si="446"/>
        <v>0</v>
      </c>
      <c r="T617" s="48">
        <f t="shared" ca="1" si="443"/>
        <v>0</v>
      </c>
      <c r="U617" s="48">
        <f t="shared" ca="1" si="444"/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46">
        <f t="shared" ref="L618:N618" ca="1" si="447">L621+L624</f>
        <v>0</v>
      </c>
      <c r="M618" s="46">
        <f t="shared" ca="1" si="447"/>
        <v>0</v>
      </c>
      <c r="N618" s="46">
        <f t="shared" ca="1" si="447"/>
        <v>0</v>
      </c>
      <c r="O618" s="46">
        <f t="shared" ca="1" si="440"/>
        <v>0</v>
      </c>
      <c r="P618" s="46">
        <f t="shared" ca="1" si="441"/>
        <v>0</v>
      </c>
      <c r="Q618" s="46">
        <f t="shared" ref="Q618:S618" ca="1" si="448">Q621+Q624</f>
        <v>101100</v>
      </c>
      <c r="R618" s="46">
        <f t="shared" ca="1" si="448"/>
        <v>97250</v>
      </c>
      <c r="S618" s="46">
        <f t="shared" ca="1" si="448"/>
        <v>27524</v>
      </c>
      <c r="T618" s="46">
        <f t="shared" ca="1" si="443"/>
        <v>27.224530168150345</v>
      </c>
      <c r="U618" s="46">
        <f t="shared" ca="1" si="444"/>
        <v>28.302313624678664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">
        <f t="shared" ref="L619:N619" ca="1" si="449">L620+L621</f>
        <v>0</v>
      </c>
      <c r="M619" s="46">
        <f t="shared" ca="1" si="449"/>
        <v>0</v>
      </c>
      <c r="N619" s="46">
        <f t="shared" ca="1" si="449"/>
        <v>0</v>
      </c>
      <c r="O619" s="46">
        <f t="shared" ca="1" si="440"/>
        <v>0</v>
      </c>
      <c r="P619" s="46">
        <f t="shared" ca="1" si="441"/>
        <v>0</v>
      </c>
      <c r="Q619" s="46">
        <f t="shared" ref="Q619:S619" ca="1" si="450">Q620+Q621</f>
        <v>101100</v>
      </c>
      <c r="R619" s="46">
        <f t="shared" ca="1" si="450"/>
        <v>97250</v>
      </c>
      <c r="S619" s="46">
        <f t="shared" ca="1" si="450"/>
        <v>27524</v>
      </c>
      <c r="T619" s="46">
        <f t="shared" ca="1" si="443"/>
        <v>27.224530168150345</v>
      </c>
      <c r="U619" s="46">
        <f t="shared" ca="1" si="444"/>
        <v>28.302313624678664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48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0" s="48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0" s="48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0" s="48">
        <f t="shared" ca="1" si="440"/>
        <v>0</v>
      </c>
      <c r="P620" s="48">
        <f t="shared" ca="1" si="441"/>
        <v>0</v>
      </c>
      <c r="Q620" s="48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0" s="48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0" s="48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0" s="48">
        <f t="shared" ca="1" si="443"/>
        <v>0</v>
      </c>
      <c r="U620" s="48">
        <f t="shared" ca="1" si="444"/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46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1" s="46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1" s="46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1" s="46">
        <f t="shared" ca="1" si="440"/>
        <v>0</v>
      </c>
      <c r="P621" s="46">
        <f t="shared" ca="1" si="441"/>
        <v>0</v>
      </c>
      <c r="Q621" s="46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1" s="46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97250)</f>
        <v>97250</v>
      </c>
      <c r="S621" s="46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27524)</f>
        <v>27524</v>
      </c>
      <c r="T621" s="46">
        <f t="shared" ca="1" si="443"/>
        <v>27.224530168150345</v>
      </c>
      <c r="U621" s="46">
        <f t="shared" ca="1" si="444"/>
        <v>28.302313624678664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">
        <f t="shared" ref="L622:N622" ca="1" si="451">L623+L624</f>
        <v>0</v>
      </c>
      <c r="M622" s="46">
        <f t="shared" ca="1" si="451"/>
        <v>0</v>
      </c>
      <c r="N622" s="46">
        <f t="shared" ca="1" si="451"/>
        <v>0</v>
      </c>
      <c r="O622" s="46">
        <f t="shared" ca="1" si="440"/>
        <v>0</v>
      </c>
      <c r="P622" s="46">
        <f t="shared" ca="1" si="441"/>
        <v>0</v>
      </c>
      <c r="Q622" s="46">
        <f t="shared" ref="Q622:S622" ca="1" si="452">Q623+Q624</f>
        <v>0</v>
      </c>
      <c r="R622" s="46">
        <f t="shared" ca="1" si="452"/>
        <v>0</v>
      </c>
      <c r="S622" s="46">
        <f t="shared" ca="1" si="452"/>
        <v>0</v>
      </c>
      <c r="T622" s="46">
        <f t="shared" ca="1" si="443"/>
        <v>0</v>
      </c>
      <c r="U622" s="46">
        <f t="shared" ca="1" si="444"/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8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3" s="48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3" s="48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3" s="48">
        <f t="shared" ca="1" si="440"/>
        <v>0</v>
      </c>
      <c r="P623" s="48">
        <f t="shared" ca="1" si="441"/>
        <v>0</v>
      </c>
      <c r="Q623" s="48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3" s="48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3" s="48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3" s="48">
        <f t="shared" ca="1" si="443"/>
        <v>0</v>
      </c>
      <c r="U623" s="48">
        <f t="shared" ca="1" si="444"/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4" s="46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4" s="46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4" s="46">
        <f t="shared" ca="1" si="440"/>
        <v>0</v>
      </c>
      <c r="P624" s="46">
        <f t="shared" ca="1" si="441"/>
        <v>0</v>
      </c>
      <c r="Q624" s="46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4" s="46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4" s="46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4" s="46">
        <f t="shared" ca="1" si="443"/>
        <v>0</v>
      </c>
      <c r="U624" s="46">
        <f t="shared" ca="1" si="444"/>
        <v>0</v>
      </c>
    </row>
    <row r="625" spans="1:21" ht="19.5" x14ac:dyDescent="0.3">
      <c r="A625" s="138"/>
      <c r="B625" s="139"/>
      <c r="C625" s="177" t="s">
        <v>18</v>
      </c>
      <c r="D625" s="460" t="s">
        <v>38</v>
      </c>
      <c r="E625" s="141"/>
      <c r="F625" s="141"/>
      <c r="G625" s="142"/>
      <c r="H625" s="178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147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66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7" s="167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9)</f>
        <v>9</v>
      </c>
      <c r="K627" s="46">
        <f t="shared" ref="K627:K628" ca="1" si="453">IF(I627&gt;0,(J627*100)/I627,0)</f>
        <v>128.57142857142858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66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8" s="167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33)</f>
        <v>33</v>
      </c>
      <c r="K628" s="46">
        <f t="shared" ca="1" si="453"/>
        <v>471.42857142857144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167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1837.5)</f>
        <v>1837.5</v>
      </c>
      <c r="K629" s="46">
        <f t="shared" ref="K629:K631" ca="1" si="454">IF(I$626&gt;0,J629*100/I$626,0)</f>
        <v>262.5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167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0" s="46">
        <f t="shared" ca="1" si="454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167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1" s="46">
        <f t="shared" ca="1" si="454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167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3" s="45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167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4" s="45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66">
        <f ca="1">J637+J638</f>
        <v>0</v>
      </c>
      <c r="K636" s="45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167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7" s="45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167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8" s="45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167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39" s="45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167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0" s="45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52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459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209" t="s">
        <v>18</v>
      </c>
      <c r="D642" s="528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132">
        <f t="shared" ref="L642:N642" ca="1" si="455">L643+L644</f>
        <v>0</v>
      </c>
      <c r="M642" s="132">
        <f t="shared" ca="1" si="455"/>
        <v>0</v>
      </c>
      <c r="N642" s="132">
        <f t="shared" ca="1" si="455"/>
        <v>0</v>
      </c>
      <c r="O642" s="132">
        <f t="shared" ref="O642:O650" ca="1" si="456">IF(L642&gt;0,N642*100/L642,0)</f>
        <v>0</v>
      </c>
      <c r="P642" s="132">
        <f t="shared" ref="P642:P650" ca="1" si="457">IF(M642&gt;0,N642*100/M642,0)</f>
        <v>0</v>
      </c>
      <c r="Q642" s="132">
        <f t="shared" ref="Q642:S642" ca="1" si="458">Q643+Q644</f>
        <v>389440</v>
      </c>
      <c r="R642" s="132">
        <f t="shared" ca="1" si="458"/>
        <v>367320</v>
      </c>
      <c r="S642" s="132">
        <f t="shared" ca="1" si="458"/>
        <v>50925</v>
      </c>
      <c r="T642" s="132">
        <f t="shared" ref="T642:T650" ca="1" si="459">IF(Q642&gt;0,S642*100/Q642,0)</f>
        <v>13.076468775677897</v>
      </c>
      <c r="U642" s="132">
        <f t="shared" ref="U642:U650" ca="1" si="460">IF(R642&gt;0,S642*100/R642,0)</f>
        <v>13.863933355112708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48">
        <f t="shared" ref="L643:N643" ca="1" si="461">L646+L649</f>
        <v>0</v>
      </c>
      <c r="M643" s="48">
        <f t="shared" ca="1" si="461"/>
        <v>0</v>
      </c>
      <c r="N643" s="48">
        <f t="shared" ca="1" si="461"/>
        <v>0</v>
      </c>
      <c r="O643" s="48">
        <f t="shared" ca="1" si="456"/>
        <v>0</v>
      </c>
      <c r="P643" s="48">
        <f t="shared" ca="1" si="457"/>
        <v>0</v>
      </c>
      <c r="Q643" s="48">
        <f t="shared" ref="Q643:S643" ca="1" si="462">Q646+Q649</f>
        <v>0</v>
      </c>
      <c r="R643" s="48">
        <f t="shared" ca="1" si="462"/>
        <v>0</v>
      </c>
      <c r="S643" s="48">
        <f t="shared" ca="1" si="462"/>
        <v>0</v>
      </c>
      <c r="T643" s="48">
        <f t="shared" ca="1" si="459"/>
        <v>0</v>
      </c>
      <c r="U643" s="48">
        <f t="shared" ca="1" si="460"/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46">
        <f t="shared" ref="L644:N644" ca="1" si="463">L647+L650</f>
        <v>0</v>
      </c>
      <c r="M644" s="46">
        <f t="shared" ca="1" si="463"/>
        <v>0</v>
      </c>
      <c r="N644" s="46">
        <f t="shared" ca="1" si="463"/>
        <v>0</v>
      </c>
      <c r="O644" s="46">
        <f t="shared" ca="1" si="456"/>
        <v>0</v>
      </c>
      <c r="P644" s="46">
        <f t="shared" ca="1" si="457"/>
        <v>0</v>
      </c>
      <c r="Q644" s="46">
        <f t="shared" ref="Q644:S644" ca="1" si="464">Q647+Q650</f>
        <v>389440</v>
      </c>
      <c r="R644" s="46">
        <f t="shared" ca="1" si="464"/>
        <v>367320</v>
      </c>
      <c r="S644" s="46">
        <f t="shared" ca="1" si="464"/>
        <v>50925</v>
      </c>
      <c r="T644" s="46">
        <f t="shared" ca="1" si="459"/>
        <v>13.076468775677897</v>
      </c>
      <c r="U644" s="46">
        <f t="shared" ca="1" si="460"/>
        <v>13.863933355112708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">
        <f t="shared" ref="L645:N645" ca="1" si="465">L646+L647</f>
        <v>0</v>
      </c>
      <c r="M645" s="46">
        <f t="shared" ca="1" si="465"/>
        <v>0</v>
      </c>
      <c r="N645" s="46">
        <f t="shared" ca="1" si="465"/>
        <v>0</v>
      </c>
      <c r="O645" s="46">
        <f t="shared" ca="1" si="456"/>
        <v>0</v>
      </c>
      <c r="P645" s="46">
        <f t="shared" ca="1" si="457"/>
        <v>0</v>
      </c>
      <c r="Q645" s="46">
        <f t="shared" ref="Q645:S645" ca="1" si="466">Q646+Q647</f>
        <v>389440</v>
      </c>
      <c r="R645" s="46">
        <f t="shared" ca="1" si="466"/>
        <v>367320</v>
      </c>
      <c r="S645" s="46">
        <f t="shared" ca="1" si="466"/>
        <v>50925</v>
      </c>
      <c r="T645" s="46">
        <f t="shared" ca="1" si="459"/>
        <v>13.076468775677897</v>
      </c>
      <c r="U645" s="46">
        <f t="shared" ca="1" si="460"/>
        <v>13.863933355112708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48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6" s="48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6" s="48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6" s="48">
        <f t="shared" ca="1" si="456"/>
        <v>0</v>
      </c>
      <c r="P646" s="48">
        <f t="shared" ca="1" si="457"/>
        <v>0</v>
      </c>
      <c r="Q646" s="48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6" s="48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6" s="48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6" s="48">
        <f t="shared" ca="1" si="459"/>
        <v>0</v>
      </c>
      <c r="U646" s="48">
        <f t="shared" ca="1" si="460"/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46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7" s="46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7" s="46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7" s="46">
        <f t="shared" ca="1" si="456"/>
        <v>0</v>
      </c>
      <c r="P647" s="46">
        <f t="shared" ca="1" si="457"/>
        <v>0</v>
      </c>
      <c r="Q647" s="46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7" s="46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367320)</f>
        <v>367320</v>
      </c>
      <c r="S647" s="46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50925)</f>
        <v>50925</v>
      </c>
      <c r="T647" s="46">
        <f t="shared" ca="1" si="459"/>
        <v>13.076468775677897</v>
      </c>
      <c r="U647" s="46">
        <f t="shared" ca="1" si="460"/>
        <v>13.863933355112708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">
        <f t="shared" ref="L648:N648" ca="1" si="467">L649+L650</f>
        <v>0</v>
      </c>
      <c r="M648" s="46">
        <f t="shared" ca="1" si="467"/>
        <v>0</v>
      </c>
      <c r="N648" s="46">
        <f t="shared" ca="1" si="467"/>
        <v>0</v>
      </c>
      <c r="O648" s="46">
        <f t="shared" ca="1" si="456"/>
        <v>0</v>
      </c>
      <c r="P648" s="46">
        <f t="shared" ca="1" si="457"/>
        <v>0</v>
      </c>
      <c r="Q648" s="46">
        <f t="shared" ref="Q648:S648" ca="1" si="468">Q649+Q650</f>
        <v>0</v>
      </c>
      <c r="R648" s="46">
        <f t="shared" ca="1" si="468"/>
        <v>0</v>
      </c>
      <c r="S648" s="46">
        <f t="shared" ca="1" si="468"/>
        <v>0</v>
      </c>
      <c r="T648" s="46">
        <f t="shared" ca="1" si="459"/>
        <v>0</v>
      </c>
      <c r="U648" s="46">
        <f t="shared" ca="1" si="460"/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8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49" s="48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49" s="48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49" s="48">
        <f t="shared" ca="1" si="456"/>
        <v>0</v>
      </c>
      <c r="P649" s="48">
        <f t="shared" ca="1" si="457"/>
        <v>0</v>
      </c>
      <c r="Q649" s="48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49" s="48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49" s="48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49" s="48">
        <f t="shared" ca="1" si="459"/>
        <v>0</v>
      </c>
      <c r="U649" s="48">
        <f t="shared" ca="1" si="460"/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0" s="46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0" s="46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0" s="46">
        <f t="shared" ca="1" si="456"/>
        <v>0</v>
      </c>
      <c r="P650" s="46">
        <f t="shared" ca="1" si="457"/>
        <v>0</v>
      </c>
      <c r="Q650" s="46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0" s="46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0" s="46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0" s="46">
        <f t="shared" ca="1" si="459"/>
        <v>0</v>
      </c>
      <c r="U650" s="46">
        <f t="shared" ca="1" si="460"/>
        <v>0</v>
      </c>
    </row>
    <row r="651" spans="1:21" ht="19.5" x14ac:dyDescent="0.3">
      <c r="A651" s="138"/>
      <c r="B651" s="139"/>
      <c r="C651" s="209" t="s">
        <v>18</v>
      </c>
      <c r="D651" s="465" t="s">
        <v>38</v>
      </c>
      <c r="E651" s="141"/>
      <c r="F651" s="141"/>
      <c r="G651" s="142"/>
      <c r="H651" s="178"/>
      <c r="I651" s="135"/>
      <c r="J651" s="135"/>
      <c r="K651" s="136"/>
      <c r="L651" s="136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466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2" s="466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153.71)</f>
        <v>153.71</v>
      </c>
      <c r="K652" s="46">
        <f t="shared" ref="K652:K654" ca="1" si="469">IF(I652&gt;0,J652*100/I652,0)</f>
        <v>0</v>
      </c>
      <c r="L652" s="45"/>
      <c r="M652" s="45"/>
      <c r="N652" s="467"/>
      <c r="O652" s="45"/>
      <c r="P652" s="45"/>
      <c r="Q652" s="45"/>
      <c r="R652" s="45"/>
      <c r="S652" s="45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466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3" s="466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40)</f>
        <v>40</v>
      </c>
      <c r="K653" s="46">
        <f t="shared" ca="1" si="469"/>
        <v>38.834951456310677</v>
      </c>
      <c r="L653" s="45"/>
      <c r="M653" s="45"/>
      <c r="N653" s="467"/>
      <c r="O653" s="45"/>
      <c r="P653" s="45"/>
      <c r="Q653" s="45"/>
      <c r="R653" s="45"/>
      <c r="S653" s="45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468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4" s="147">
        <f ca="1">J657+J660</f>
        <v>3032.07</v>
      </c>
      <c r="K654" s="132">
        <f t="shared" ca="1" si="469"/>
        <v>127.93544303797468</v>
      </c>
      <c r="L654" s="45"/>
      <c r="M654" s="45"/>
      <c r="N654" s="467"/>
      <c r="O654" s="45"/>
      <c r="P654" s="45"/>
      <c r="Q654" s="45"/>
      <c r="R654" s="45"/>
      <c r="S654" s="45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167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173)</f>
        <v>173</v>
      </c>
      <c r="K655" s="45"/>
      <c r="L655" s="45"/>
      <c r="M655" s="45"/>
      <c r="N655" s="467"/>
      <c r="O655" s="45"/>
      <c r="P655" s="45"/>
      <c r="Q655" s="45"/>
      <c r="R655" s="45"/>
      <c r="S655" s="45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67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174)</f>
        <v>174</v>
      </c>
      <c r="K656" s="45"/>
      <c r="L656" s="45"/>
      <c r="M656" s="45"/>
      <c r="N656" s="467"/>
      <c r="O656" s="45"/>
      <c r="P656" s="45"/>
      <c r="Q656" s="45"/>
      <c r="R656" s="45"/>
      <c r="S656" s="45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466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7" s="466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2904.67)</f>
        <v>2904.67</v>
      </c>
      <c r="K657" s="45"/>
      <c r="L657" s="45"/>
      <c r="M657" s="45"/>
      <c r="N657" s="467"/>
      <c r="O657" s="45"/>
      <c r="P657" s="45"/>
      <c r="Q657" s="45"/>
      <c r="R657" s="45"/>
      <c r="S657" s="45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167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7)</f>
        <v>7</v>
      </c>
      <c r="K658" s="45"/>
      <c r="L658" s="45"/>
      <c r="M658" s="45"/>
      <c r="N658" s="467"/>
      <c r="O658" s="45"/>
      <c r="P658" s="45"/>
      <c r="Q658" s="45"/>
      <c r="R658" s="45"/>
      <c r="S658" s="45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67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7)</f>
        <v>7</v>
      </c>
      <c r="K659" s="45"/>
      <c r="L659" s="45"/>
      <c r="M659" s="45"/>
      <c r="N659" s="467"/>
      <c r="O659" s="45"/>
      <c r="P659" s="45"/>
      <c r="Q659" s="45"/>
      <c r="R659" s="45"/>
      <c r="S659" s="45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466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0" s="469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127.4)</f>
        <v>127.4</v>
      </c>
      <c r="K660" s="45"/>
      <c r="L660" s="45"/>
      <c r="M660" s="45"/>
      <c r="N660" s="467"/>
      <c r="O660" s="45"/>
      <c r="P660" s="45"/>
      <c r="Q660" s="45"/>
      <c r="R660" s="45"/>
      <c r="S660" s="45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468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1" s="147">
        <f ca="1">J667+J670</f>
        <v>675</v>
      </c>
      <c r="K661" s="132">
        <f ca="1">IF(I661&gt;0,J661*100/I661,0)</f>
        <v>27.108433734939759</v>
      </c>
      <c r="L661" s="45"/>
      <c r="M661" s="45"/>
      <c r="N661" s="467"/>
      <c r="O661" s="45"/>
      <c r="P661" s="45"/>
      <c r="Q661" s="45"/>
      <c r="R661" s="45"/>
      <c r="S661" s="45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167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9)</f>
        <v>9</v>
      </c>
      <c r="K662" s="45"/>
      <c r="L662" s="467"/>
      <c r="M662" s="467"/>
      <c r="N662" s="467"/>
      <c r="O662" s="45"/>
      <c r="P662" s="45"/>
      <c r="Q662" s="467"/>
      <c r="R662" s="467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67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153)</f>
        <v>153</v>
      </c>
      <c r="K663" s="45"/>
      <c r="L663" s="467"/>
      <c r="M663" s="467"/>
      <c r="N663" s="467"/>
      <c r="O663" s="45"/>
      <c r="P663" s="45"/>
      <c r="Q663" s="467"/>
      <c r="R663" s="467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467"/>
      <c r="M664" s="467"/>
      <c r="N664" s="467"/>
      <c r="O664" s="45"/>
      <c r="P664" s="45"/>
      <c r="Q664" s="467"/>
      <c r="R664" s="467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167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70)</f>
        <v>70</v>
      </c>
      <c r="K665" s="45"/>
      <c r="L665" s="467"/>
      <c r="M665" s="467"/>
      <c r="N665" s="467"/>
      <c r="O665" s="45"/>
      <c r="P665" s="45"/>
      <c r="Q665" s="467"/>
      <c r="R665" s="467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67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84)</f>
        <v>84</v>
      </c>
      <c r="K666" s="45"/>
      <c r="L666" s="467"/>
      <c r="M666" s="467"/>
      <c r="N666" s="467"/>
      <c r="O666" s="45"/>
      <c r="P666" s="45"/>
      <c r="Q666" s="467"/>
      <c r="R666" s="467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67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675)</f>
        <v>675</v>
      </c>
      <c r="K667" s="45"/>
      <c r="L667" s="467"/>
      <c r="M667" s="467"/>
      <c r="N667" s="467"/>
      <c r="O667" s="45"/>
      <c r="P667" s="45"/>
      <c r="Q667" s="467"/>
      <c r="R667" s="467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167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8" s="45"/>
      <c r="L668" s="467"/>
      <c r="M668" s="467"/>
      <c r="N668" s="467"/>
      <c r="O668" s="45"/>
      <c r="P668" s="45"/>
      <c r="Q668" s="467"/>
      <c r="R668" s="467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67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69" s="45"/>
      <c r="L669" s="467"/>
      <c r="M669" s="467"/>
      <c r="N669" s="467"/>
      <c r="O669" s="45"/>
      <c r="P669" s="45"/>
      <c r="Q669" s="467"/>
      <c r="R669" s="467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67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0" s="45"/>
      <c r="L670" s="467"/>
      <c r="M670" s="467"/>
      <c r="N670" s="467"/>
      <c r="O670" s="45"/>
      <c r="P670" s="45"/>
      <c r="Q670" s="467"/>
      <c r="R670" s="467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66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67)</f>
        <v>67</v>
      </c>
      <c r="K671" s="45"/>
      <c r="L671" s="45"/>
      <c r="M671" s="45"/>
      <c r="N671" s="467"/>
      <c r="O671" s="45"/>
      <c r="P671" s="45"/>
      <c r="Q671" s="45"/>
      <c r="R671" s="45"/>
      <c r="S671" s="45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66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69)</f>
        <v>69</v>
      </c>
      <c r="K672" s="45"/>
      <c r="L672" s="467"/>
      <c r="M672" s="467"/>
      <c r="N672" s="467"/>
      <c r="O672" s="45"/>
      <c r="P672" s="45"/>
      <c r="Q672" s="467"/>
      <c r="R672" s="467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466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3" s="466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1146.34)</f>
        <v>1146.3399999999999</v>
      </c>
      <c r="K673" s="46">
        <f t="shared" ref="K673:K676" ca="1" si="470">IF(I673&gt;0,J673*100/I673,0)</f>
        <v>39.097544338335602</v>
      </c>
      <c r="L673" s="467"/>
      <c r="M673" s="467"/>
      <c r="N673" s="467"/>
      <c r="O673" s="45"/>
      <c r="P673" s="45"/>
      <c r="Q673" s="467"/>
      <c r="R673" s="467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468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4" s="147">
        <f ca="1">J676+J679</f>
        <v>96</v>
      </c>
      <c r="K674" s="132">
        <f t="shared" ca="1" si="470"/>
        <v>97.959183673469383</v>
      </c>
      <c r="L674" s="467"/>
      <c r="M674" s="467"/>
      <c r="N674" s="467"/>
      <c r="O674" s="45"/>
      <c r="P674" s="45"/>
      <c r="Q674" s="467"/>
      <c r="R674" s="467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468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5" s="147">
        <f ca="1">J678+J681</f>
        <v>1994.32</v>
      </c>
      <c r="K675" s="132">
        <f t="shared" ca="1" si="470"/>
        <v>122.42602823818294</v>
      </c>
      <c r="L675" s="45"/>
      <c r="M675" s="45"/>
      <c r="N675" s="467"/>
      <c r="O675" s="45"/>
      <c r="P675" s="45"/>
      <c r="Q675" s="45"/>
      <c r="R675" s="45"/>
      <c r="S675" s="45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466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6" s="466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96)</f>
        <v>96</v>
      </c>
      <c r="K676" s="46">
        <f t="shared" ca="1" si="470"/>
        <v>111.62790697674419</v>
      </c>
      <c r="L676" s="45"/>
      <c r="M676" s="45"/>
      <c r="N676" s="467"/>
      <c r="O676" s="45"/>
      <c r="P676" s="45"/>
      <c r="Q676" s="45"/>
      <c r="R676" s="45"/>
      <c r="S676" s="45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66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104)</f>
        <v>104</v>
      </c>
      <c r="K677" s="45"/>
      <c r="L677" s="467"/>
      <c r="M677" s="467"/>
      <c r="N677" s="467"/>
      <c r="O677" s="45"/>
      <c r="P677" s="45"/>
      <c r="Q677" s="467"/>
      <c r="R677" s="467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466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8" s="466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1994.32)</f>
        <v>1994.32</v>
      </c>
      <c r="K678" s="46">
        <f t="shared" ref="K678:K679" ca="1" si="471">IF(I678&gt;0,J678*100/I678,0)</f>
        <v>132.16169648774022</v>
      </c>
      <c r="L678" s="467"/>
      <c r="M678" s="467"/>
      <c r="N678" s="467"/>
      <c r="O678" s="45"/>
      <c r="P678" s="45"/>
      <c r="Q678" s="467"/>
      <c r="R678" s="467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466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79" s="466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79" s="46">
        <f t="shared" ca="1" si="471"/>
        <v>0</v>
      </c>
      <c r="L679" s="45"/>
      <c r="M679" s="45"/>
      <c r="N679" s="467"/>
      <c r="O679" s="45"/>
      <c r="P679" s="45"/>
      <c r="Q679" s="45"/>
      <c r="R679" s="45"/>
      <c r="S679" s="45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66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0" s="45"/>
      <c r="L680" s="467"/>
      <c r="M680" s="467"/>
      <c r="N680" s="467"/>
      <c r="O680" s="45"/>
      <c r="P680" s="45"/>
      <c r="Q680" s="467"/>
      <c r="R680" s="467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466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1" s="466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1" s="46">
        <f t="shared" ref="K681:K682" ca="1" si="472">IF(I681&gt;0,J681*100/I681,0)</f>
        <v>0</v>
      </c>
      <c r="L681" s="467"/>
      <c r="M681" s="467"/>
      <c r="N681" s="467"/>
      <c r="O681" s="45"/>
      <c r="P681" s="45"/>
      <c r="Q681" s="467"/>
      <c r="R681" s="467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468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2" s="147">
        <f ca="1">J685+J688</f>
        <v>123</v>
      </c>
      <c r="K682" s="132">
        <f t="shared" ca="1" si="472"/>
        <v>60.294117647058826</v>
      </c>
      <c r="L682" s="45"/>
      <c r="M682" s="45"/>
      <c r="N682" s="467"/>
      <c r="O682" s="45"/>
      <c r="P682" s="45"/>
      <c r="Q682" s="45"/>
      <c r="R682" s="45"/>
      <c r="S682" s="45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167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3)</f>
        <v>3</v>
      </c>
      <c r="K683" s="45"/>
      <c r="L683" s="467"/>
      <c r="M683" s="467"/>
      <c r="N683" s="467"/>
      <c r="O683" s="45"/>
      <c r="P683" s="45"/>
      <c r="Q683" s="467"/>
      <c r="R683" s="467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67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3)</f>
        <v>3</v>
      </c>
      <c r="K684" s="45"/>
      <c r="L684" s="467"/>
      <c r="M684" s="467"/>
      <c r="N684" s="467"/>
      <c r="O684" s="45"/>
      <c r="P684" s="45"/>
      <c r="Q684" s="467"/>
      <c r="R684" s="467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67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66)</f>
        <v>66</v>
      </c>
      <c r="K685" s="45"/>
      <c r="L685" s="467"/>
      <c r="M685" s="467"/>
      <c r="N685" s="467"/>
      <c r="O685" s="45"/>
      <c r="P685" s="45"/>
      <c r="Q685" s="467"/>
      <c r="R685" s="467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167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3)</f>
        <v>3</v>
      </c>
      <c r="K686" s="45"/>
      <c r="L686" s="467"/>
      <c r="M686" s="467"/>
      <c r="N686" s="467"/>
      <c r="O686" s="45"/>
      <c r="P686" s="45"/>
      <c r="Q686" s="467"/>
      <c r="R686" s="467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67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3)</f>
        <v>3</v>
      </c>
      <c r="K687" s="45"/>
      <c r="L687" s="467"/>
      <c r="M687" s="467"/>
      <c r="N687" s="467"/>
      <c r="O687" s="45"/>
      <c r="P687" s="45"/>
      <c r="Q687" s="467"/>
      <c r="R687" s="467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344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57)</f>
        <v>57</v>
      </c>
      <c r="K688" s="3"/>
      <c r="L688" s="471"/>
      <c r="M688" s="471"/>
      <c r="N688" s="471"/>
      <c r="O688" s="3"/>
      <c r="P688" s="3"/>
      <c r="Q688" s="471"/>
      <c r="R688" s="471"/>
      <c r="S688" s="471"/>
      <c r="T688" s="3"/>
      <c r="U688" s="3"/>
    </row>
    <row r="689" spans="1:21" ht="19.5" x14ac:dyDescent="0.3">
      <c r="A689" s="445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473">
        <f t="shared" ref="I689:J689" ca="1" si="473">I707</f>
        <v>1455</v>
      </c>
      <c r="J689" s="473">
        <f t="shared" ca="1" si="473"/>
        <v>969</v>
      </c>
      <c r="K689" s="474">
        <f ca="1">IF(I689&gt;0,J689*100/I689,0)</f>
        <v>66.597938144329902</v>
      </c>
      <c r="L689" s="451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177" t="s">
        <v>18</v>
      </c>
      <c r="D690" s="528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132">
        <f t="shared" ref="L690:N690" ca="1" si="474">L691+L692</f>
        <v>0</v>
      </c>
      <c r="M690" s="132">
        <f t="shared" ca="1" si="474"/>
        <v>0</v>
      </c>
      <c r="N690" s="132">
        <f t="shared" ca="1" si="474"/>
        <v>0</v>
      </c>
      <c r="O690" s="132">
        <f t="shared" ref="O690:O698" ca="1" si="475">IF(L690&gt;0,N690*100/L690,0)</f>
        <v>0</v>
      </c>
      <c r="P690" s="132">
        <f t="shared" ref="P690:P698" ca="1" si="476">IF(M690&gt;0,N690*100/M690,0)</f>
        <v>0</v>
      </c>
      <c r="Q690" s="132">
        <f t="shared" ref="Q690:S690" ca="1" si="477">Q691+Q692</f>
        <v>3406990</v>
      </c>
      <c r="R690" s="132">
        <f t="shared" ca="1" si="477"/>
        <v>3406990</v>
      </c>
      <c r="S690" s="132">
        <f t="shared" ca="1" si="477"/>
        <v>2280168.66</v>
      </c>
      <c r="T690" s="132">
        <f t="shared" ref="T690:T698" ca="1" si="478">IF(Q690&gt;0,S690*100/Q690,0)</f>
        <v>66.926191741096986</v>
      </c>
      <c r="U690" s="132">
        <f t="shared" ref="U690:U698" ca="1" si="479">IF(R690&gt;0,S690*100/R690,0)</f>
        <v>66.926191741096986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48">
        <f t="shared" ref="L691:N691" ca="1" si="480">L694+L697</f>
        <v>0</v>
      </c>
      <c r="M691" s="48">
        <f t="shared" ca="1" si="480"/>
        <v>0</v>
      </c>
      <c r="N691" s="48">
        <f t="shared" ca="1" si="480"/>
        <v>0</v>
      </c>
      <c r="O691" s="48">
        <f t="shared" ca="1" si="475"/>
        <v>0</v>
      </c>
      <c r="P691" s="48">
        <f t="shared" ca="1" si="476"/>
        <v>0</v>
      </c>
      <c r="Q691" s="48">
        <f t="shared" ref="Q691:S691" ca="1" si="481">Q694+Q697</f>
        <v>0</v>
      </c>
      <c r="R691" s="48">
        <f t="shared" ca="1" si="481"/>
        <v>0</v>
      </c>
      <c r="S691" s="48">
        <f t="shared" ca="1" si="481"/>
        <v>0</v>
      </c>
      <c r="T691" s="48">
        <f t="shared" ca="1" si="478"/>
        <v>0</v>
      </c>
      <c r="U691" s="48">
        <f t="shared" ca="1" si="479"/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46">
        <f t="shared" ref="L692:N692" ca="1" si="482">L695+L698</f>
        <v>0</v>
      </c>
      <c r="M692" s="46">
        <f t="shared" ca="1" si="482"/>
        <v>0</v>
      </c>
      <c r="N692" s="46">
        <f t="shared" ca="1" si="482"/>
        <v>0</v>
      </c>
      <c r="O692" s="46">
        <f t="shared" ca="1" si="475"/>
        <v>0</v>
      </c>
      <c r="P692" s="46">
        <f t="shared" ca="1" si="476"/>
        <v>0</v>
      </c>
      <c r="Q692" s="46">
        <f t="shared" ref="Q692:S692" ca="1" si="483">Q695+Q698</f>
        <v>3406990</v>
      </c>
      <c r="R692" s="46">
        <f t="shared" ca="1" si="483"/>
        <v>3406990</v>
      </c>
      <c r="S692" s="46">
        <f t="shared" ca="1" si="483"/>
        <v>2280168.66</v>
      </c>
      <c r="T692" s="46">
        <f t="shared" ca="1" si="478"/>
        <v>66.926191741096986</v>
      </c>
      <c r="U692" s="46">
        <f t="shared" ca="1" si="479"/>
        <v>66.926191741096986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">
        <f t="shared" ref="L693:N693" ca="1" si="484">L694+L695</f>
        <v>0</v>
      </c>
      <c r="M693" s="46">
        <f t="shared" ca="1" si="484"/>
        <v>0</v>
      </c>
      <c r="N693" s="46">
        <f t="shared" ca="1" si="484"/>
        <v>0</v>
      </c>
      <c r="O693" s="46">
        <f t="shared" ca="1" si="475"/>
        <v>0</v>
      </c>
      <c r="P693" s="46">
        <f t="shared" ca="1" si="476"/>
        <v>0</v>
      </c>
      <c r="Q693" s="46">
        <f t="shared" ref="Q693:S693" ca="1" si="485">Q694+Q695</f>
        <v>3406990</v>
      </c>
      <c r="R693" s="46">
        <f t="shared" ca="1" si="485"/>
        <v>3406990</v>
      </c>
      <c r="S693" s="46">
        <f t="shared" ca="1" si="485"/>
        <v>2280168.66</v>
      </c>
      <c r="T693" s="46">
        <f t="shared" ca="1" si="478"/>
        <v>66.926191741096986</v>
      </c>
      <c r="U693" s="46">
        <f t="shared" ca="1" si="479"/>
        <v>66.926191741096986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48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4" s="48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4" s="48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4" s="48">
        <f t="shared" ca="1" si="475"/>
        <v>0</v>
      </c>
      <c r="P694" s="48">
        <f t="shared" ca="1" si="476"/>
        <v>0</v>
      </c>
      <c r="Q694" s="48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4" s="48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4" s="48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4" s="48">
        <f t="shared" ca="1" si="478"/>
        <v>0</v>
      </c>
      <c r="U694" s="48">
        <f t="shared" ca="1" si="479"/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46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5" s="46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5" s="46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5" s="46">
        <f t="shared" ca="1" si="475"/>
        <v>0</v>
      </c>
      <c r="P695" s="46">
        <f t="shared" ca="1" si="476"/>
        <v>0</v>
      </c>
      <c r="Q695" s="46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5" s="46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5" s="46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2280168.66)</f>
        <v>2280168.66</v>
      </c>
      <c r="T695" s="46">
        <f t="shared" ca="1" si="478"/>
        <v>66.926191741096986</v>
      </c>
      <c r="U695" s="46">
        <f t="shared" ca="1" si="479"/>
        <v>66.926191741096986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">
        <f t="shared" ref="L696:N696" ca="1" si="486">L697+L698</f>
        <v>0</v>
      </c>
      <c r="M696" s="46">
        <f t="shared" ca="1" si="486"/>
        <v>0</v>
      </c>
      <c r="N696" s="46">
        <f t="shared" ca="1" si="486"/>
        <v>0</v>
      </c>
      <c r="O696" s="46">
        <f t="shared" ca="1" si="475"/>
        <v>0</v>
      </c>
      <c r="P696" s="46">
        <f t="shared" ca="1" si="476"/>
        <v>0</v>
      </c>
      <c r="Q696" s="46">
        <f t="shared" ref="Q696:S696" ca="1" si="487">Q697+Q698</f>
        <v>0</v>
      </c>
      <c r="R696" s="46">
        <f t="shared" ca="1" si="487"/>
        <v>0</v>
      </c>
      <c r="S696" s="46">
        <f t="shared" ca="1" si="487"/>
        <v>0</v>
      </c>
      <c r="T696" s="46">
        <f t="shared" ca="1" si="478"/>
        <v>0</v>
      </c>
      <c r="U696" s="46">
        <f t="shared" ca="1" si="479"/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8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7" s="48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7" s="48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7" s="48">
        <f t="shared" ca="1" si="475"/>
        <v>0</v>
      </c>
      <c r="P697" s="48">
        <f t="shared" ca="1" si="476"/>
        <v>0</v>
      </c>
      <c r="Q697" s="48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7" s="48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7" s="48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7" s="48">
        <f t="shared" ca="1" si="478"/>
        <v>0</v>
      </c>
      <c r="U697" s="48">
        <f t="shared" ca="1" si="479"/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8" s="46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8" s="46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8" s="46">
        <f t="shared" ca="1" si="475"/>
        <v>0</v>
      </c>
      <c r="P698" s="46">
        <f t="shared" ca="1" si="476"/>
        <v>0</v>
      </c>
      <c r="Q698" s="46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8" s="46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8" s="46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8" s="46">
        <f t="shared" ca="1" si="478"/>
        <v>0</v>
      </c>
      <c r="U698" s="46">
        <f t="shared" ca="1" si="479"/>
        <v>0</v>
      </c>
    </row>
    <row r="699" spans="1:21" ht="19.5" x14ac:dyDescent="0.3">
      <c r="A699" s="138"/>
      <c r="B699" s="139"/>
      <c r="C699" s="177" t="s">
        <v>18</v>
      </c>
      <c r="D699" s="140" t="s">
        <v>38</v>
      </c>
      <c r="E699" s="141"/>
      <c r="F699" s="141"/>
      <c r="G699" s="141"/>
      <c r="H699" s="178"/>
      <c r="I699" s="135"/>
      <c r="J699" s="135"/>
      <c r="K699" s="136"/>
      <c r="L699" s="4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66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0" s="167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7)</f>
        <v>7</v>
      </c>
      <c r="K700" s="152">
        <f t="shared" ref="K700:K710" ca="1" si="488">IF(I700&gt;0,J700*100/I700,0)</f>
        <v>53.846153846153847</v>
      </c>
      <c r="L700" s="136"/>
      <c r="M700" s="136"/>
      <c r="N700" s="45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147">
        <f t="shared" ref="I701:J701" ca="1" si="489">I703+I705</f>
        <v>1517</v>
      </c>
      <c r="J701" s="147">
        <f t="shared" ca="1" si="489"/>
        <v>1456</v>
      </c>
      <c r="K701" s="132">
        <f t="shared" ca="1" si="488"/>
        <v>95.978905735003295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147">
        <f ca="1">J704+J706</f>
        <v>911.76999999999896</v>
      </c>
      <c r="K702" s="132">
        <f t="shared" si="488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66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3" s="166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1456)</f>
        <v>1456</v>
      </c>
      <c r="K703" s="46">
        <f t="shared" ca="1" si="488"/>
        <v>100.06872852233677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66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911.769999999999)</f>
        <v>911.76999999999896</v>
      </c>
      <c r="K704" s="46">
        <f t="shared" si="488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66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5" s="166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5" s="152">
        <f t="shared" ca="1" si="488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66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6" s="46">
        <f t="shared" si="488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66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7" s="166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969)</f>
        <v>969</v>
      </c>
      <c r="K707" s="46">
        <f t="shared" ca="1" si="488"/>
        <v>66.597938144329902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66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617)</f>
        <v>617</v>
      </c>
      <c r="K708" s="46">
        <f t="shared" si="488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66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09" s="166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72)</f>
        <v>72</v>
      </c>
      <c r="K709" s="46">
        <f t="shared" ca="1" si="488"/>
        <v>116.12903225806451</v>
      </c>
      <c r="L709" s="4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66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0" s="46">
        <f t="shared" si="488"/>
        <v>0</v>
      </c>
      <c r="L710" s="4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327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45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479">
        <f>IF(I712&gt;0,J712*100/I712,0)</f>
        <v>0</v>
      </c>
      <c r="L712" s="451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45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29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132">
        <f t="shared" ref="L714:N714" ca="1" si="490">L715+L716</f>
        <v>0</v>
      </c>
      <c r="M714" s="132">
        <f t="shared" ca="1" si="490"/>
        <v>0</v>
      </c>
      <c r="N714" s="132">
        <f t="shared" ca="1" si="490"/>
        <v>0</v>
      </c>
      <c r="O714" s="132">
        <f t="shared" ref="O714:O722" ca="1" si="491">IF(L714&gt;0,N714*100/L714,0)</f>
        <v>0</v>
      </c>
      <c r="P714" s="132">
        <f t="shared" ref="P714:P722" ca="1" si="492">IF(M714&gt;0,N714*100/M714,0)</f>
        <v>0</v>
      </c>
      <c r="Q714" s="132">
        <f t="shared" ref="Q714:S714" ca="1" si="493">Q715+Q716</f>
        <v>0</v>
      </c>
      <c r="R714" s="132">
        <f t="shared" ca="1" si="493"/>
        <v>0</v>
      </c>
      <c r="S714" s="132">
        <f t="shared" ca="1" si="493"/>
        <v>0</v>
      </c>
      <c r="T714" s="132">
        <f t="shared" ref="T714:T722" ca="1" si="494">IF(Q714&gt;0,S714*100/Q714,0)</f>
        <v>0</v>
      </c>
      <c r="U714" s="132">
        <f t="shared" ref="U714:U722" ca="1" si="495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48">
        <f t="shared" ref="L715:N715" ca="1" si="496">L718+L721</f>
        <v>0</v>
      </c>
      <c r="M715" s="48">
        <f t="shared" ca="1" si="496"/>
        <v>0</v>
      </c>
      <c r="N715" s="48">
        <f t="shared" ca="1" si="496"/>
        <v>0</v>
      </c>
      <c r="O715" s="48">
        <f t="shared" ca="1" si="491"/>
        <v>0</v>
      </c>
      <c r="P715" s="48">
        <f t="shared" ca="1" si="492"/>
        <v>0</v>
      </c>
      <c r="Q715" s="48">
        <f t="shared" ref="Q715:S715" ca="1" si="497">Q718+Q721</f>
        <v>0</v>
      </c>
      <c r="R715" s="48">
        <f t="shared" ca="1" si="497"/>
        <v>0</v>
      </c>
      <c r="S715" s="48">
        <f t="shared" ca="1" si="497"/>
        <v>0</v>
      </c>
      <c r="T715" s="48">
        <f t="shared" ca="1" si="494"/>
        <v>0</v>
      </c>
      <c r="U715" s="48">
        <f t="shared" ca="1" si="495"/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46">
        <f t="shared" ref="L716:N716" ca="1" si="498">L719+L722</f>
        <v>0</v>
      </c>
      <c r="M716" s="46">
        <f t="shared" ca="1" si="498"/>
        <v>0</v>
      </c>
      <c r="N716" s="46">
        <f t="shared" ca="1" si="498"/>
        <v>0</v>
      </c>
      <c r="O716" s="46">
        <f t="shared" ca="1" si="491"/>
        <v>0</v>
      </c>
      <c r="P716" s="46">
        <f t="shared" ca="1" si="492"/>
        <v>0</v>
      </c>
      <c r="Q716" s="46">
        <f t="shared" ref="Q716:S716" ca="1" si="499">Q719+Q722</f>
        <v>0</v>
      </c>
      <c r="R716" s="46">
        <f t="shared" ca="1" si="499"/>
        <v>0</v>
      </c>
      <c r="S716" s="46">
        <f t="shared" ca="1" si="499"/>
        <v>0</v>
      </c>
      <c r="T716" s="46">
        <f t="shared" ca="1" si="494"/>
        <v>0</v>
      </c>
      <c r="U716" s="46">
        <f t="shared" ca="1" si="495"/>
        <v>0</v>
      </c>
    </row>
    <row r="717" spans="1:21" ht="19.5" hidden="1" x14ac:dyDescent="0.3">
      <c r="A717" s="128"/>
      <c r="B717" s="158"/>
      <c r="C717" s="158"/>
      <c r="D717" s="481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46">
        <f t="shared" ref="L717:N717" ca="1" si="500">L718+L719</f>
        <v>0</v>
      </c>
      <c r="M717" s="46">
        <f t="shared" ca="1" si="500"/>
        <v>0</v>
      </c>
      <c r="N717" s="46">
        <f t="shared" ca="1" si="500"/>
        <v>0</v>
      </c>
      <c r="O717" s="46">
        <f t="shared" ca="1" si="491"/>
        <v>0</v>
      </c>
      <c r="P717" s="46">
        <f t="shared" ca="1" si="492"/>
        <v>0</v>
      </c>
      <c r="Q717" s="46">
        <f t="shared" ref="Q717:S717" ca="1" si="501">Q718+Q719</f>
        <v>0</v>
      </c>
      <c r="R717" s="46">
        <f t="shared" ca="1" si="501"/>
        <v>0</v>
      </c>
      <c r="S717" s="46">
        <f t="shared" ca="1" si="501"/>
        <v>0</v>
      </c>
      <c r="T717" s="46">
        <f t="shared" ca="1" si="494"/>
        <v>0</v>
      </c>
      <c r="U717" s="46">
        <f t="shared" ca="1" si="495"/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48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8" s="48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8" s="48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8" s="48">
        <f t="shared" ca="1" si="491"/>
        <v>0</v>
      </c>
      <c r="P718" s="48">
        <f t="shared" ca="1" si="492"/>
        <v>0</v>
      </c>
      <c r="Q718" s="48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8" s="48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8" s="48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8" s="48">
        <f t="shared" ca="1" si="494"/>
        <v>0</v>
      </c>
      <c r="U718" s="48">
        <f t="shared" ca="1" si="495"/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46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19" s="46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19" s="46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19" s="46">
        <f t="shared" ca="1" si="491"/>
        <v>0</v>
      </c>
      <c r="P719" s="46">
        <f t="shared" ca="1" si="492"/>
        <v>0</v>
      </c>
      <c r="Q719" s="46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19" s="46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19" s="46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19" s="46">
        <f t="shared" ca="1" si="494"/>
        <v>0</v>
      </c>
      <c r="U719" s="46">
        <f t="shared" ca="1" si="495"/>
        <v>0</v>
      </c>
    </row>
    <row r="720" spans="1:21" ht="19.5" hidden="1" x14ac:dyDescent="0.3">
      <c r="A720" s="128"/>
      <c r="B720" s="158"/>
      <c r="C720" s="158"/>
      <c r="D720" s="481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46">
        <f t="shared" ref="L720:N720" ca="1" si="502">L721+L722</f>
        <v>0</v>
      </c>
      <c r="M720" s="46">
        <f t="shared" ca="1" si="502"/>
        <v>0</v>
      </c>
      <c r="N720" s="46">
        <f t="shared" ca="1" si="502"/>
        <v>0</v>
      </c>
      <c r="O720" s="46">
        <f t="shared" ca="1" si="491"/>
        <v>0</v>
      </c>
      <c r="P720" s="46">
        <f t="shared" ca="1" si="492"/>
        <v>0</v>
      </c>
      <c r="Q720" s="46">
        <f t="shared" ref="Q720:S720" ca="1" si="503">Q721+Q722</f>
        <v>0</v>
      </c>
      <c r="R720" s="46">
        <f t="shared" ca="1" si="503"/>
        <v>0</v>
      </c>
      <c r="S720" s="46">
        <f t="shared" ca="1" si="503"/>
        <v>0</v>
      </c>
      <c r="T720" s="46">
        <f t="shared" ca="1" si="494"/>
        <v>0</v>
      </c>
      <c r="U720" s="46">
        <f t="shared" ca="1" si="495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8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1" s="48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1" s="48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1" s="48">
        <f t="shared" ca="1" si="491"/>
        <v>0</v>
      </c>
      <c r="P721" s="48">
        <f t="shared" ca="1" si="492"/>
        <v>0</v>
      </c>
      <c r="Q721" s="48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1" s="48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1" s="48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1" s="48">
        <f t="shared" ca="1" si="494"/>
        <v>0</v>
      </c>
      <c r="U721" s="48">
        <f t="shared" ca="1" si="495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46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2" s="46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2" s="46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2" s="46">
        <f t="shared" ca="1" si="491"/>
        <v>0</v>
      </c>
      <c r="P722" s="46">
        <f t="shared" ca="1" si="492"/>
        <v>0</v>
      </c>
      <c r="Q722" s="46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2" s="46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2" s="46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2" s="46">
        <f t="shared" ca="1" si="494"/>
        <v>0</v>
      </c>
      <c r="U722" s="46">
        <f t="shared" ca="1" si="495"/>
        <v>0</v>
      </c>
    </row>
    <row r="723" spans="1:21" ht="19.5" hidden="1" x14ac:dyDescent="0.3">
      <c r="A723" s="138"/>
      <c r="B723" s="139"/>
      <c r="C723" s="322" t="s">
        <v>18</v>
      </c>
      <c r="D723" s="484" t="s">
        <v>38</v>
      </c>
      <c r="E723" s="141"/>
      <c r="F723" s="141"/>
      <c r="G723" s="142"/>
      <c r="H723" s="178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45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473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6" s="473">
        <f ca="1">J742+J746+J749</f>
        <v>1460</v>
      </c>
      <c r="K726" s="474">
        <f t="shared" ref="K726:K727" ca="1" si="504">IF(I726&gt;0,J726*100/I726,0)</f>
        <v>101.67130919220055</v>
      </c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473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7" s="473">
        <f ca="1">J752+J755</f>
        <v>5964.75</v>
      </c>
      <c r="K727" s="474">
        <f t="shared" ca="1" si="504"/>
        <v>42.605357142857144</v>
      </c>
      <c r="L727" s="451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177" t="s">
        <v>18</v>
      </c>
      <c r="D728" s="528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132">
        <f t="shared" ref="L728:N728" ca="1" si="505">L729+L730</f>
        <v>0</v>
      </c>
      <c r="M728" s="132">
        <f t="shared" ca="1" si="505"/>
        <v>0</v>
      </c>
      <c r="N728" s="132">
        <f t="shared" ca="1" si="505"/>
        <v>0</v>
      </c>
      <c r="O728" s="132">
        <f t="shared" ref="O728:O736" ca="1" si="506">IF(L728&gt;0,N728*100/L728,0)</f>
        <v>0</v>
      </c>
      <c r="P728" s="132">
        <f t="shared" ref="P728:P736" ca="1" si="507">IF(M728&gt;0,N728*100/M728,0)</f>
        <v>0</v>
      </c>
      <c r="Q728" s="132">
        <f t="shared" ref="Q728:S728" ca="1" si="508">Q729+Q730</f>
        <v>11271490</v>
      </c>
      <c r="R728" s="132">
        <f t="shared" ca="1" si="508"/>
        <v>11323490</v>
      </c>
      <c r="S728" s="132">
        <f t="shared" ca="1" si="508"/>
        <v>5944772.6299999999</v>
      </c>
      <c r="T728" s="132">
        <f t="shared" ref="T728:T736" ca="1" si="509">IF(Q728&gt;0,S728*100/Q728,0)</f>
        <v>52.741675058044677</v>
      </c>
      <c r="U728" s="132">
        <f t="shared" ref="U728:U736" ca="1" si="510">IF(R728&gt;0,S728*100/R728,0)</f>
        <v>52.499473483881737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48">
        <f t="shared" ref="L729:N729" ca="1" si="511">L732+L735</f>
        <v>0</v>
      </c>
      <c r="M729" s="48">
        <f t="shared" ca="1" si="511"/>
        <v>0</v>
      </c>
      <c r="N729" s="48">
        <f t="shared" ca="1" si="511"/>
        <v>0</v>
      </c>
      <c r="O729" s="48">
        <f t="shared" ca="1" si="506"/>
        <v>0</v>
      </c>
      <c r="P729" s="48">
        <f t="shared" ca="1" si="507"/>
        <v>0</v>
      </c>
      <c r="Q729" s="48">
        <f t="shared" ref="Q729:S729" ca="1" si="512">Q732+Q735</f>
        <v>0</v>
      </c>
      <c r="R729" s="48">
        <f t="shared" ca="1" si="512"/>
        <v>0</v>
      </c>
      <c r="S729" s="48">
        <f t="shared" ca="1" si="512"/>
        <v>0</v>
      </c>
      <c r="T729" s="48">
        <f t="shared" ca="1" si="509"/>
        <v>0</v>
      </c>
      <c r="U729" s="48">
        <f t="shared" ca="1" si="510"/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46">
        <f t="shared" ref="L730:N730" ca="1" si="513">L733+L736</f>
        <v>0</v>
      </c>
      <c r="M730" s="46">
        <f t="shared" ca="1" si="513"/>
        <v>0</v>
      </c>
      <c r="N730" s="46">
        <f t="shared" ca="1" si="513"/>
        <v>0</v>
      </c>
      <c r="O730" s="46">
        <f t="shared" ca="1" si="506"/>
        <v>0</v>
      </c>
      <c r="P730" s="46">
        <f t="shared" ca="1" si="507"/>
        <v>0</v>
      </c>
      <c r="Q730" s="46">
        <f t="shared" ref="Q730:S730" ca="1" si="514">Q733+Q736</f>
        <v>11271490</v>
      </c>
      <c r="R730" s="46">
        <f t="shared" ca="1" si="514"/>
        <v>11323490</v>
      </c>
      <c r="S730" s="46">
        <f t="shared" ca="1" si="514"/>
        <v>5944772.6299999999</v>
      </c>
      <c r="T730" s="46">
        <f t="shared" ca="1" si="509"/>
        <v>52.741675058044677</v>
      </c>
      <c r="U730" s="46">
        <f t="shared" ca="1" si="510"/>
        <v>52.499473483881737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">
        <f t="shared" ref="L731:N731" ca="1" si="515">L732+L733</f>
        <v>0</v>
      </c>
      <c r="M731" s="46">
        <f t="shared" ca="1" si="515"/>
        <v>0</v>
      </c>
      <c r="N731" s="46">
        <f t="shared" ca="1" si="515"/>
        <v>0</v>
      </c>
      <c r="O731" s="46">
        <f t="shared" ca="1" si="506"/>
        <v>0</v>
      </c>
      <c r="P731" s="46">
        <f t="shared" ca="1" si="507"/>
        <v>0</v>
      </c>
      <c r="Q731" s="46">
        <f t="shared" ref="Q731:S731" ca="1" si="516">Q732+Q733</f>
        <v>11271490</v>
      </c>
      <c r="R731" s="46">
        <f t="shared" ca="1" si="516"/>
        <v>11323490</v>
      </c>
      <c r="S731" s="46">
        <f t="shared" ca="1" si="516"/>
        <v>5944772.6299999999</v>
      </c>
      <c r="T731" s="46">
        <f t="shared" ca="1" si="509"/>
        <v>52.741675058044677</v>
      </c>
      <c r="U731" s="46">
        <f t="shared" ca="1" si="510"/>
        <v>52.499473483881737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48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2" s="48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2" s="48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2" s="48">
        <f t="shared" ca="1" si="506"/>
        <v>0</v>
      </c>
      <c r="P732" s="48">
        <f t="shared" ca="1" si="507"/>
        <v>0</v>
      </c>
      <c r="Q732" s="48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2" s="48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2" s="48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2" s="48">
        <f t="shared" ca="1" si="509"/>
        <v>0</v>
      </c>
      <c r="U732" s="48">
        <f t="shared" ca="1" si="510"/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46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3" s="46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3" s="46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3" s="46">
        <f t="shared" ca="1" si="506"/>
        <v>0</v>
      </c>
      <c r="P733" s="46">
        <f t="shared" ca="1" si="507"/>
        <v>0</v>
      </c>
      <c r="Q733" s="46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3" s="46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11323490)</f>
        <v>11323490</v>
      </c>
      <c r="S733" s="46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5944772.63)</f>
        <v>5944772.6299999999</v>
      </c>
      <c r="T733" s="46">
        <f t="shared" ca="1" si="509"/>
        <v>52.741675058044677</v>
      </c>
      <c r="U733" s="46">
        <f t="shared" ca="1" si="510"/>
        <v>52.499473483881737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">
        <f t="shared" ref="L734:N734" ca="1" si="517">L735+L736</f>
        <v>0</v>
      </c>
      <c r="M734" s="46">
        <f t="shared" ca="1" si="517"/>
        <v>0</v>
      </c>
      <c r="N734" s="46">
        <f t="shared" ca="1" si="517"/>
        <v>0</v>
      </c>
      <c r="O734" s="46">
        <f t="shared" ca="1" si="506"/>
        <v>0</v>
      </c>
      <c r="P734" s="46">
        <f t="shared" ca="1" si="507"/>
        <v>0</v>
      </c>
      <c r="Q734" s="46">
        <f t="shared" ref="Q734:S734" ca="1" si="518">Q735+Q736</f>
        <v>0</v>
      </c>
      <c r="R734" s="46">
        <f t="shared" ca="1" si="518"/>
        <v>0</v>
      </c>
      <c r="S734" s="46">
        <f t="shared" ca="1" si="518"/>
        <v>0</v>
      </c>
      <c r="T734" s="46">
        <f t="shared" ca="1" si="509"/>
        <v>0</v>
      </c>
      <c r="U734" s="46">
        <f t="shared" ca="1" si="510"/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48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5" s="48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5" s="48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5" s="48">
        <f t="shared" ca="1" si="506"/>
        <v>0</v>
      </c>
      <c r="P735" s="48">
        <f t="shared" ca="1" si="507"/>
        <v>0</v>
      </c>
      <c r="Q735" s="48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5" s="48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5" s="48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5" s="48">
        <f t="shared" ca="1" si="509"/>
        <v>0</v>
      </c>
      <c r="U735" s="48">
        <f t="shared" ca="1" si="510"/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6" s="46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6" s="46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6" s="46">
        <f t="shared" ca="1" si="506"/>
        <v>0</v>
      </c>
      <c r="P736" s="46">
        <f t="shared" ca="1" si="507"/>
        <v>0</v>
      </c>
      <c r="Q736" s="46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6" s="46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6" s="46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6" s="46">
        <f t="shared" ca="1" si="509"/>
        <v>0</v>
      </c>
      <c r="U736" s="46">
        <f t="shared" ca="1" si="510"/>
        <v>0</v>
      </c>
    </row>
    <row r="737" spans="1:21" ht="19.5" x14ac:dyDescent="0.3">
      <c r="A737" s="138"/>
      <c r="B737" s="139"/>
      <c r="C737" s="177" t="s">
        <v>18</v>
      </c>
      <c r="D737" s="321" t="s">
        <v>38</v>
      </c>
      <c r="E737" s="203"/>
      <c r="F737" s="141"/>
      <c r="G737" s="142"/>
      <c r="H737" s="178"/>
      <c r="I737" s="44"/>
      <c r="J737" s="44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66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0" s="167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11244)</f>
        <v>11244</v>
      </c>
      <c r="K740" s="46">
        <f ca="1">IF(I740&gt;0,J740*100/I740,0)</f>
        <v>100.39285714285714</v>
      </c>
      <c r="L740" s="4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167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651)</f>
        <v>651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66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2" s="167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1174)</f>
        <v>1174</v>
      </c>
      <c r="K742" s="46">
        <f ca="1">IF(I742&gt;0,J742*100/I742,0)</f>
        <v>104.82142857142857</v>
      </c>
      <c r="L742" s="4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66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4" s="167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2551)</f>
        <v>2551</v>
      </c>
      <c r="K744" s="46">
        <f ca="1">IF(I744&gt;0,J744*100/I744,0)</f>
        <v>91.107142857142861</v>
      </c>
      <c r="L744" s="4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61" t="s">
        <v>282</v>
      </c>
      <c r="G745" s="143"/>
      <c r="H745" s="133" t="s">
        <v>35</v>
      </c>
      <c r="I745" s="44"/>
      <c r="J745" s="167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161)</f>
        <v>161</v>
      </c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61" t="s">
        <v>283</v>
      </c>
      <c r="G746" s="143"/>
      <c r="H746" s="133" t="s">
        <v>35</v>
      </c>
      <c r="I746" s="166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6" s="167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257)</f>
        <v>257</v>
      </c>
      <c r="K746" s="46">
        <f ca="1">IF(I746&gt;0,J746*100/I746,0)</f>
        <v>91.785714285714292</v>
      </c>
      <c r="L746" s="4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61" t="s">
        <v>284</v>
      </c>
      <c r="F747" s="145"/>
      <c r="G747" s="143"/>
      <c r="H747" s="180"/>
      <c r="I747" s="44"/>
      <c r="J747" s="44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61" t="s">
        <v>285</v>
      </c>
      <c r="G748" s="143"/>
      <c r="H748" s="133" t="s">
        <v>35</v>
      </c>
      <c r="I748" s="44"/>
      <c r="J748" s="167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63)</f>
        <v>63</v>
      </c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61" t="s">
        <v>286</v>
      </c>
      <c r="G749" s="143"/>
      <c r="H749" s="133" t="s">
        <v>35</v>
      </c>
      <c r="I749" s="166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49" s="167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29)</f>
        <v>29</v>
      </c>
      <c r="K749" s="46">
        <f ca="1">IF(I749&gt;0,J749*100/I749,0)</f>
        <v>80.555555555555557</v>
      </c>
      <c r="L749" s="4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90" t="s">
        <v>50</v>
      </c>
      <c r="E750" s="139"/>
      <c r="F750" s="145"/>
      <c r="G750" s="143"/>
      <c r="H750" s="180"/>
      <c r="I750" s="44"/>
      <c r="J750" s="44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61" t="s">
        <v>277</v>
      </c>
      <c r="F751" s="145"/>
      <c r="G751" s="143"/>
      <c r="H751" s="180"/>
      <c r="I751" s="44"/>
      <c r="J751" s="44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287</v>
      </c>
      <c r="G752" s="143"/>
      <c r="H752" s="133" t="s">
        <v>46</v>
      </c>
      <c r="I752" s="166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2" s="167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4771.75)</f>
        <v>4771.75</v>
      </c>
      <c r="K752" s="46">
        <f ca="1">IF(I752&gt;0,J752*100/I752,0)</f>
        <v>42.604910714285715</v>
      </c>
      <c r="L752" s="4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288</v>
      </c>
      <c r="G753" s="143"/>
      <c r="H753" s="133" t="s">
        <v>46</v>
      </c>
      <c r="I753" s="44"/>
      <c r="J753" s="167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1967)</f>
        <v>1967</v>
      </c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61" t="s">
        <v>281</v>
      </c>
      <c r="F754" s="145"/>
      <c r="G754" s="143"/>
      <c r="H754" s="180"/>
      <c r="I754" s="44"/>
      <c r="J754" s="44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289</v>
      </c>
      <c r="G755" s="143"/>
      <c r="H755" s="133" t="s">
        <v>46</v>
      </c>
      <c r="I755" s="166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5" s="167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1193)</f>
        <v>1193</v>
      </c>
      <c r="K755" s="46">
        <f ca="1">IF(I755&gt;0,J755*100/I755,0)</f>
        <v>42.607142857142854</v>
      </c>
      <c r="L755" s="4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290</v>
      </c>
      <c r="G756" s="143"/>
      <c r="H756" s="133" t="s">
        <v>46</v>
      </c>
      <c r="I756" s="44"/>
      <c r="J756" s="167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487)</f>
        <v>487</v>
      </c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91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f ca="1">IFERROR(__xludf.DUMMYFUNCTION("IMPORTRANGE(""https://docs.google.com/spreadsheets/d/1jTcq05yEiRwXcBMLjiodW9e4biSGYWAHcDj22rKWQ3s/edit?usp=sharing"",""กำแพงเพชร!J757"")+IMPORTRANGE(""https://docs.google.com/spreadsheets/d/1KS0zmDSZPk8KnTAbGN-Xk6MtX1YRZD0ldgdt20K4CRk/edit?usp=sharing"","&amp;"""เชียงราย!J757"")+IMPORTRANGE(""https://docs.google.com/spreadsheets/d/1rEDxBtusbi64tE0zunoIbsTVV16HeL0oJ6trHQeQ7K8/edit?usp=sharing"",""เชียงใหม่!J757"")+IMPORTRANGE(""https://docs.google.com/spreadsheets/d/1W6MnUbDkMi6xHnHko_XkFDO9kkuL6Wqyc-6OCDFjW9I/e"&amp;"dit?usp=sharing"",""ตาก!J757"")+IMPORTRANGE(""https://docs.google.com/spreadsheets/d/1IQAWArduLkta9LpYo4a_ULsyqdta6-6aDDiwpUnQT6c/edit?usp=sharing"",""นครสวรรค์!J757"")+IMPORTRANGE(""https://docs.google.com/spreadsheets/d/10s13Sk5xrltsiR-Zkbmk5DwIaDIKO8Xl"&amp;"bJAfqyT7Gvg/edit?usp=sharing"",""น่าน!J757"")+IMPORTRANGE(""https://docs.google.com/spreadsheets/d/1uu4nAn4Dbi1XREnLKKotUANlKXa7yCgRcgq8HEzQYW8/edit?usp=sharing"",""พะเยา!J757"")+IMPORTRANGE(""https://docs.google.com/spreadsheets/d/1xfJKIQxVOaPDIICqsflNlL"&amp;"u3JacTDk1FP9RH4phX7mI/edit?usp=sharing"",""พิจิตร!J757"")+IMPORTRANGE(""https://docs.google.com/spreadsheets/d/1JtRfZkJMHtEhI5RdRHxYUG4FIZHqKDpNyIuN7A1Q0_k/edit?usp=sharing"",""พิษณุโลก!J757"")+IMPORTRANGE(""https://docs.google.com/spreadsheets/d/1xlcVZWU"&amp;"Nn6SuWm0c307h32SiGkd9BaeQWlAktfD3KO8/edit?usp=sharing"",""เพชรบูรณ์!J757"")+IMPORTRANGE(""https://docs.google.com/spreadsheets/d/1lOVebEIsI9qjGXl6EX66luk7wiuP2tBaryw-wKvv4e0/edit?usp=sharing"",""แพร่!J757"")+IMPORTRANGE(""https://docs.google.com/spreadshe"&amp;"ets/d/1dQrvX0vEcN7Gu0fnZ0B5S90AeR19zth4XlExFBeExMY/edit?usp=sharing"",""แม่ฮ่องสอน!J757"")+IMPORTRANGE(""https://docs.google.com/spreadsheets/d/1DY4XTNNwjluuxqdfdn6qvOSlMRrZqUtmYcZR0ttFiG4/edit?usp=sharing"",""ลำปาง!J757"")+IMPORTRANGE(""https://docs.goog"&amp;"le.com/spreadsheets/d/1ICwG78r0OFT8biBlxnBF8r7she7gNSzOvJ958PWT09c/edit?usp=sharing"",""ลำพูน!J757"")+IMPORTRANGE(""https://docs.google.com/spreadsheets/d/1B0f2xJpZUC6Z0xXnqKlZtEPzsf6L84eP1r1Q15seqRM/edit?usp=sharing"",""สุโขทัย!J757"")+IMPORTRANGE(""http"&amp;"s://docs.google.com/spreadsheets/d/1v0b9pFQCsKUVExMei7AgY2yQkdeNQvtOssygGsXbiKo/edit?usp=sharing"",""อุตรดิตถ์!J757"")+IMPORTRANGE(""https://docs.google.com/spreadsheets/d/1UsNK1e-WWiCo2PvGqdNfdme4m17_Ezd3J69EeeiQPD0/edit?usp=sharing"",""อุทัยธานี!J757"")"),18)</f>
        <v>18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45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473">
        <f t="shared" ref="I758:J758" ca="1" si="519">I772</f>
        <v>1115</v>
      </c>
      <c r="J758" s="473">
        <f t="shared" ca="1" si="519"/>
        <v>1115</v>
      </c>
      <c r="K758" s="474">
        <f t="shared" ref="K758:K759" ca="1" si="520">IF(I758&gt;0,J758*100/I758,0)</f>
        <v>100</v>
      </c>
      <c r="L758" s="451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473">
        <f t="shared" ref="I759:J759" ca="1" si="521">I774</f>
        <v>3235</v>
      </c>
      <c r="J759" s="473">
        <f t="shared" ca="1" si="521"/>
        <v>3235</v>
      </c>
      <c r="K759" s="474">
        <f t="shared" ca="1" si="520"/>
        <v>100</v>
      </c>
      <c r="L759" s="451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177" t="s">
        <v>18</v>
      </c>
      <c r="D760" s="528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132">
        <f t="shared" ref="L760:N760" ca="1" si="522">L761+L762</f>
        <v>0</v>
      </c>
      <c r="M760" s="132">
        <f t="shared" ca="1" si="522"/>
        <v>0</v>
      </c>
      <c r="N760" s="132">
        <f t="shared" ca="1" si="522"/>
        <v>0</v>
      </c>
      <c r="O760" s="132">
        <f t="shared" ref="O760:O768" ca="1" si="523">IF(L760&gt;0,N760*100/L760,0)</f>
        <v>0</v>
      </c>
      <c r="P760" s="132">
        <f t="shared" ref="P760:P768" ca="1" si="524">IF(M760&gt;0,N760*100/M760,0)</f>
        <v>0</v>
      </c>
      <c r="Q760" s="132">
        <f t="shared" ref="Q760:S760" ca="1" si="525">Q761+Q762</f>
        <v>8462790</v>
      </c>
      <c r="R760" s="132">
        <f t="shared" ca="1" si="525"/>
        <v>8462790</v>
      </c>
      <c r="S760" s="132">
        <f t="shared" ca="1" si="525"/>
        <v>6165821.6799999997</v>
      </c>
      <c r="T760" s="132">
        <f t="shared" ref="T760:T768" ca="1" si="526">IF(Q760&gt;0,S760*100/Q760,0)</f>
        <v>72.858025308438471</v>
      </c>
      <c r="U760" s="132">
        <f t="shared" ref="U760:U768" ca="1" si="527">IF(R760&gt;0,S760*100/R760,0)</f>
        <v>72.858025308438471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48">
        <f t="shared" ref="L761:N761" ca="1" si="528">L764+L767</f>
        <v>0</v>
      </c>
      <c r="M761" s="48">
        <f t="shared" ca="1" si="528"/>
        <v>0</v>
      </c>
      <c r="N761" s="48">
        <f t="shared" ca="1" si="528"/>
        <v>0</v>
      </c>
      <c r="O761" s="48">
        <f t="shared" ca="1" si="523"/>
        <v>0</v>
      </c>
      <c r="P761" s="48">
        <f t="shared" ca="1" si="524"/>
        <v>0</v>
      </c>
      <c r="Q761" s="48">
        <f t="shared" ref="Q761:S761" ca="1" si="529">Q764+Q767</f>
        <v>0</v>
      </c>
      <c r="R761" s="48">
        <f t="shared" ca="1" si="529"/>
        <v>0</v>
      </c>
      <c r="S761" s="48">
        <f t="shared" ca="1" si="529"/>
        <v>0</v>
      </c>
      <c r="T761" s="48">
        <f t="shared" ca="1" si="526"/>
        <v>0</v>
      </c>
      <c r="U761" s="48">
        <f t="shared" ca="1" si="527"/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46">
        <f t="shared" ref="L762:N762" ca="1" si="530">L765+L768</f>
        <v>0</v>
      </c>
      <c r="M762" s="46">
        <f t="shared" ca="1" si="530"/>
        <v>0</v>
      </c>
      <c r="N762" s="46">
        <f t="shared" ca="1" si="530"/>
        <v>0</v>
      </c>
      <c r="O762" s="46">
        <f t="shared" ca="1" si="523"/>
        <v>0</v>
      </c>
      <c r="P762" s="46">
        <f t="shared" ca="1" si="524"/>
        <v>0</v>
      </c>
      <c r="Q762" s="46">
        <f t="shared" ref="Q762:S762" ca="1" si="531">Q765+Q768</f>
        <v>8462790</v>
      </c>
      <c r="R762" s="46">
        <f t="shared" ca="1" si="531"/>
        <v>8462790</v>
      </c>
      <c r="S762" s="46">
        <f t="shared" ca="1" si="531"/>
        <v>6165821.6799999997</v>
      </c>
      <c r="T762" s="46">
        <f t="shared" ca="1" si="526"/>
        <v>72.858025308438471</v>
      </c>
      <c r="U762" s="46">
        <f t="shared" ca="1" si="527"/>
        <v>72.858025308438471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">
        <f t="shared" ref="L763:N763" ca="1" si="532">L764+L765</f>
        <v>0</v>
      </c>
      <c r="M763" s="46">
        <f t="shared" ca="1" si="532"/>
        <v>0</v>
      </c>
      <c r="N763" s="46">
        <f t="shared" ca="1" si="532"/>
        <v>0</v>
      </c>
      <c r="O763" s="46">
        <f t="shared" ca="1" si="523"/>
        <v>0</v>
      </c>
      <c r="P763" s="46">
        <f t="shared" ca="1" si="524"/>
        <v>0</v>
      </c>
      <c r="Q763" s="46">
        <f t="shared" ref="Q763:S763" ca="1" si="533">Q764+Q765</f>
        <v>8462790</v>
      </c>
      <c r="R763" s="46">
        <f t="shared" ca="1" si="533"/>
        <v>8462790</v>
      </c>
      <c r="S763" s="46">
        <f t="shared" ca="1" si="533"/>
        <v>6165821.6799999997</v>
      </c>
      <c r="T763" s="46">
        <f t="shared" ca="1" si="526"/>
        <v>72.858025308438471</v>
      </c>
      <c r="U763" s="46">
        <f t="shared" ca="1" si="527"/>
        <v>72.858025308438471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48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4" s="48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4" s="48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4" s="48">
        <f t="shared" ca="1" si="523"/>
        <v>0</v>
      </c>
      <c r="P764" s="48">
        <f t="shared" ca="1" si="524"/>
        <v>0</v>
      </c>
      <c r="Q764" s="48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0)</f>
        <v>0</v>
      </c>
      <c r="R764" s="48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0)</f>
        <v>0</v>
      </c>
      <c r="S764" s="48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0)</f>
        <v>0</v>
      </c>
      <c r="T764" s="48">
        <f t="shared" ca="1" si="526"/>
        <v>0</v>
      </c>
      <c r="U764" s="48">
        <f t="shared" ca="1" si="527"/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46">
        <f ca="1">IFERROR(__xludf.DUMMYFUNCTION("IMPORTRANGE(""https://docs.google.com/spreadsheets/d/1jTcq05yEiRwXcBMLjiodW9e4biSGYWAHcDj22rKWQ3s/edit?usp=sharing"",""กำแพงเพชร!L765"")+IMPORTRANGE(""https://docs.google.com/spreadsheets/d/1KS0zmDSZPk8KnTAbGN-Xk6MtX1YRZD0ldgdt20K4CRk/edit?usp=sharing"","&amp;"""เชียงราย!L765"")+IMPORTRANGE(""https://docs.google.com/spreadsheets/d/1rEDxBtusbi64tE0zunoIbsTVV16HeL0oJ6trHQeQ7K8/edit?usp=sharing"",""เชียงใหม่!L765"")+IMPORTRANGE(""https://docs.google.com/spreadsheets/d/1W6MnUbDkMi6xHnHko_XkFDO9kkuL6Wqyc-6OCDFjW9I/e"&amp;"dit?usp=sharing"",""ตาก!L765"")+IMPORTRANGE(""https://docs.google.com/spreadsheets/d/1IQAWArduLkta9LpYo4a_ULsyqdta6-6aDDiwpUnQT6c/edit?usp=sharing"",""นครสวรรค์!L765"")+IMPORTRANGE(""https://docs.google.com/spreadsheets/d/10s13Sk5xrltsiR-Zkbmk5DwIaDIKO8Xl"&amp;"bJAfqyT7Gvg/edit?usp=sharing"",""น่าน!L765"")+IMPORTRANGE(""https://docs.google.com/spreadsheets/d/1uu4nAn4Dbi1XREnLKKotUANlKXa7yCgRcgq8HEzQYW8/edit?usp=sharing"",""พะเยา!L765"")+IMPORTRANGE(""https://docs.google.com/spreadsheets/d/1xfJKIQxVOaPDIICqsflNlL"&amp;"u3JacTDk1FP9RH4phX7mI/edit?usp=sharing"",""พิจิตร!L765"")+IMPORTRANGE(""https://docs.google.com/spreadsheets/d/1JtRfZkJMHtEhI5RdRHxYUG4FIZHqKDpNyIuN7A1Q0_k/edit?usp=sharing"",""พิษณุโลก!L765"")+IMPORTRANGE(""https://docs.google.com/spreadsheets/d/1xlcVZWU"&amp;"Nn6SuWm0c307h32SiGkd9BaeQWlAktfD3KO8/edit?usp=sharing"",""เพชรบูรณ์!L765"")+IMPORTRANGE(""https://docs.google.com/spreadsheets/d/1lOVebEIsI9qjGXl6EX66luk7wiuP2tBaryw-wKvv4e0/edit?usp=sharing"",""แพร่!L765"")+IMPORTRANGE(""https://docs.google.com/spreadshe"&amp;"ets/d/1dQrvX0vEcN7Gu0fnZ0B5S90AeR19zth4XlExFBeExMY/edit?usp=sharing"",""แม่ฮ่องสอน!L765"")+IMPORTRANGE(""https://docs.google.com/spreadsheets/d/1DY4XTNNwjluuxqdfdn6qvOSlMRrZqUtmYcZR0ttFiG4/edit?usp=sharing"",""ลำปาง!L765"")+IMPORTRANGE(""https://docs.goog"&amp;"le.com/spreadsheets/d/1ICwG78r0OFT8biBlxnBF8r7she7gNSzOvJ958PWT09c/edit?usp=sharing"",""ลำพูน!L765"")+IMPORTRANGE(""https://docs.google.com/spreadsheets/d/1B0f2xJpZUC6Z0xXnqKlZtEPzsf6L84eP1r1Q15seqRM/edit?usp=sharing"",""สุโขทัย!L765"")+IMPORTRANGE(""http"&amp;"s://docs.google.com/spreadsheets/d/1v0b9pFQCsKUVExMei7AgY2yQkdeNQvtOssygGsXbiKo/edit?usp=sharing"",""อุตรดิตถ์!L765"")+IMPORTRANGE(""https://docs.google.com/spreadsheets/d/1UsNK1e-WWiCo2PvGqdNfdme4m17_Ezd3J69EeeiQPD0/edit?usp=sharing"",""อุทัยธานี!L765"")"),0)</f>
        <v>0</v>
      </c>
      <c r="M765" s="46">
        <f ca="1">IFERROR(__xludf.DUMMYFUNCTION("IMPORTRANGE(""https://docs.google.com/spreadsheets/d/1jTcq05yEiRwXcBMLjiodW9e4biSGYWAHcDj22rKWQ3s/edit?usp=sharing"",""กำแพงเพชร!M765"")+IMPORTRANGE(""https://docs.google.com/spreadsheets/d/1KS0zmDSZPk8KnTAbGN-Xk6MtX1YRZD0ldgdt20K4CRk/edit?usp=sharing"","&amp;"""เชียงราย!M765"")+IMPORTRANGE(""https://docs.google.com/spreadsheets/d/1rEDxBtusbi64tE0zunoIbsTVV16HeL0oJ6trHQeQ7K8/edit?usp=sharing"",""เชียงใหม่!M765"")+IMPORTRANGE(""https://docs.google.com/spreadsheets/d/1W6MnUbDkMi6xHnHko_XkFDO9kkuL6Wqyc-6OCDFjW9I/e"&amp;"dit?usp=sharing"",""ตาก!M765"")+IMPORTRANGE(""https://docs.google.com/spreadsheets/d/1IQAWArduLkta9LpYo4a_ULsyqdta6-6aDDiwpUnQT6c/edit?usp=sharing"",""นครสวรรค์!M765"")+IMPORTRANGE(""https://docs.google.com/spreadsheets/d/10s13Sk5xrltsiR-Zkbmk5DwIaDIKO8Xl"&amp;"bJAfqyT7Gvg/edit?usp=sharing"",""น่าน!M765"")+IMPORTRANGE(""https://docs.google.com/spreadsheets/d/1uu4nAn4Dbi1XREnLKKotUANlKXa7yCgRcgq8HEzQYW8/edit?usp=sharing"",""พะเยา!M765"")+IMPORTRANGE(""https://docs.google.com/spreadsheets/d/1xfJKIQxVOaPDIICqsflNlL"&amp;"u3JacTDk1FP9RH4phX7mI/edit?usp=sharing"",""พิจิตร!M765"")+IMPORTRANGE(""https://docs.google.com/spreadsheets/d/1JtRfZkJMHtEhI5RdRHxYUG4FIZHqKDpNyIuN7A1Q0_k/edit?usp=sharing"",""พิษณุโลก!M765"")+IMPORTRANGE(""https://docs.google.com/spreadsheets/d/1xlcVZWU"&amp;"Nn6SuWm0c307h32SiGkd9BaeQWlAktfD3KO8/edit?usp=sharing"",""เพชรบูรณ์!M765"")+IMPORTRANGE(""https://docs.google.com/spreadsheets/d/1lOVebEIsI9qjGXl6EX66luk7wiuP2tBaryw-wKvv4e0/edit?usp=sharing"",""แพร่!M765"")+IMPORTRANGE(""https://docs.google.com/spreadshe"&amp;"ets/d/1dQrvX0vEcN7Gu0fnZ0B5S90AeR19zth4XlExFBeExMY/edit?usp=sharing"",""แม่ฮ่องสอน!M765"")+IMPORTRANGE(""https://docs.google.com/spreadsheets/d/1DY4XTNNwjluuxqdfdn6qvOSlMRrZqUtmYcZR0ttFiG4/edit?usp=sharing"",""ลำปาง!M765"")+IMPORTRANGE(""https://docs.goog"&amp;"le.com/spreadsheets/d/1ICwG78r0OFT8biBlxnBF8r7she7gNSzOvJ958PWT09c/edit?usp=sharing"",""ลำพูน!M765"")+IMPORTRANGE(""https://docs.google.com/spreadsheets/d/1B0f2xJpZUC6Z0xXnqKlZtEPzsf6L84eP1r1Q15seqRM/edit?usp=sharing"",""สุโขทัย!M765"")+IMPORTRANGE(""http"&amp;"s://docs.google.com/spreadsheets/d/1v0b9pFQCsKUVExMei7AgY2yQkdeNQvtOssygGsXbiKo/edit?usp=sharing"",""อุตรดิตถ์!M765"")+IMPORTRANGE(""https://docs.google.com/spreadsheets/d/1UsNK1e-WWiCo2PvGqdNfdme4m17_Ezd3J69EeeiQPD0/edit?usp=sharing"",""อุทัยธานี!M765"")"),0)</f>
        <v>0</v>
      </c>
      <c r="N765" s="46">
        <f ca="1">IFERROR(__xludf.DUMMYFUNCTION("IMPORTRANGE(""https://docs.google.com/spreadsheets/d/1jTcq05yEiRwXcBMLjiodW9e4biSGYWAHcDj22rKWQ3s/edit?usp=sharing"",""กำแพงเพชร!N765"")+IMPORTRANGE(""https://docs.google.com/spreadsheets/d/1KS0zmDSZPk8KnTAbGN-Xk6MtX1YRZD0ldgdt20K4CRk/edit?usp=sharing"","&amp;"""เชียงราย!N765"")+IMPORTRANGE(""https://docs.google.com/spreadsheets/d/1rEDxBtusbi64tE0zunoIbsTVV16HeL0oJ6trHQeQ7K8/edit?usp=sharing"",""เชียงใหม่!N765"")+IMPORTRANGE(""https://docs.google.com/spreadsheets/d/1W6MnUbDkMi6xHnHko_XkFDO9kkuL6Wqyc-6OCDFjW9I/e"&amp;"dit?usp=sharing"",""ตาก!N765"")+IMPORTRANGE(""https://docs.google.com/spreadsheets/d/1IQAWArduLkta9LpYo4a_ULsyqdta6-6aDDiwpUnQT6c/edit?usp=sharing"",""นครสวรรค์!N765"")+IMPORTRANGE(""https://docs.google.com/spreadsheets/d/10s13Sk5xrltsiR-Zkbmk5DwIaDIKO8Xl"&amp;"bJAfqyT7Gvg/edit?usp=sharing"",""น่าน!N765"")+IMPORTRANGE(""https://docs.google.com/spreadsheets/d/1uu4nAn4Dbi1XREnLKKotUANlKXa7yCgRcgq8HEzQYW8/edit?usp=sharing"",""พะเยา!N765"")+IMPORTRANGE(""https://docs.google.com/spreadsheets/d/1xfJKIQxVOaPDIICqsflNlL"&amp;"u3JacTDk1FP9RH4phX7mI/edit?usp=sharing"",""พิจิตร!N765"")+IMPORTRANGE(""https://docs.google.com/spreadsheets/d/1JtRfZkJMHtEhI5RdRHxYUG4FIZHqKDpNyIuN7A1Q0_k/edit?usp=sharing"",""พิษณุโลก!N765"")+IMPORTRANGE(""https://docs.google.com/spreadsheets/d/1xlcVZWU"&amp;"Nn6SuWm0c307h32SiGkd9BaeQWlAktfD3KO8/edit?usp=sharing"",""เพชรบูรณ์!N765"")+IMPORTRANGE(""https://docs.google.com/spreadsheets/d/1lOVebEIsI9qjGXl6EX66luk7wiuP2tBaryw-wKvv4e0/edit?usp=sharing"",""แพร่!N765"")+IMPORTRANGE(""https://docs.google.com/spreadshe"&amp;"ets/d/1dQrvX0vEcN7Gu0fnZ0B5S90AeR19zth4XlExFBeExMY/edit?usp=sharing"",""แม่ฮ่องสอน!N765"")+IMPORTRANGE(""https://docs.google.com/spreadsheets/d/1DY4XTNNwjluuxqdfdn6qvOSlMRrZqUtmYcZR0ttFiG4/edit?usp=sharing"",""ลำปาง!N765"")+IMPORTRANGE(""https://docs.goog"&amp;"le.com/spreadsheets/d/1ICwG78r0OFT8biBlxnBF8r7she7gNSzOvJ958PWT09c/edit?usp=sharing"",""ลำพูน!N765"")+IMPORTRANGE(""https://docs.google.com/spreadsheets/d/1B0f2xJpZUC6Z0xXnqKlZtEPzsf6L84eP1r1Q15seqRM/edit?usp=sharing"",""สุโขทัย!N765"")+IMPORTRANGE(""http"&amp;"s://docs.google.com/spreadsheets/d/1v0b9pFQCsKUVExMei7AgY2yQkdeNQvtOssygGsXbiKo/edit?usp=sharing"",""อุตรดิตถ์!N765"")+IMPORTRANGE(""https://docs.google.com/spreadsheets/d/1UsNK1e-WWiCo2PvGqdNfdme4m17_Ezd3J69EeeiQPD0/edit?usp=sharing"",""อุทัยธานี!N765"")"),0)</f>
        <v>0</v>
      </c>
      <c r="O765" s="46">
        <f t="shared" ca="1" si="523"/>
        <v>0</v>
      </c>
      <c r="P765" s="46">
        <f t="shared" ca="1" si="524"/>
        <v>0</v>
      </c>
      <c r="Q765" s="46">
        <f ca="1">IFERROR(__xludf.DUMMYFUNCTION("IMPORTRANGE(""https://docs.google.com/spreadsheets/d/1jTcq05yEiRwXcBMLjiodW9e4biSGYWAHcDj22rKWQ3s/edit?usp=sharing"",""กำแพงเพชร!Q765"")+IMPORTRANGE(""https://docs.google.com/spreadsheets/d/1KS0zmDSZPk8KnTAbGN-Xk6MtX1YRZD0ldgdt20K4CRk/edit?usp=sharing"","&amp;"""เชียงราย!Q765"")+IMPORTRANGE(""https://docs.google.com/spreadsheets/d/1rEDxBtusbi64tE0zunoIbsTVV16HeL0oJ6trHQeQ7K8/edit?usp=sharing"",""เชียงใหม่!Q765"")+IMPORTRANGE(""https://docs.google.com/spreadsheets/d/1W6MnUbDkMi6xHnHko_XkFDO9kkuL6Wqyc-6OCDFjW9I/e"&amp;"dit?usp=sharing"",""ตาก!Q765"")+IMPORTRANGE(""https://docs.google.com/spreadsheets/d/1IQAWArduLkta9LpYo4a_ULsyqdta6-6aDDiwpUnQT6c/edit?usp=sharing"",""นครสวรรค์!Q765"")+IMPORTRANGE(""https://docs.google.com/spreadsheets/d/10s13Sk5xrltsiR-Zkbmk5DwIaDIKO8Xl"&amp;"bJAfqyT7Gvg/edit?usp=sharing"",""น่าน!Q765"")+IMPORTRANGE(""https://docs.google.com/spreadsheets/d/1uu4nAn4Dbi1XREnLKKotUANlKXa7yCgRcgq8HEzQYW8/edit?usp=sharing"",""พะเยา!Q765"")+IMPORTRANGE(""https://docs.google.com/spreadsheets/d/1xfJKIQxVOaPDIICqsflNlL"&amp;"u3JacTDk1FP9RH4phX7mI/edit?usp=sharing"",""พิจิตร!Q765"")+IMPORTRANGE(""https://docs.google.com/spreadsheets/d/1JtRfZkJMHtEhI5RdRHxYUG4FIZHqKDpNyIuN7A1Q0_k/edit?usp=sharing"",""พิษณุโลก!Q765"")+IMPORTRANGE(""https://docs.google.com/spreadsheets/d/1xlcVZWU"&amp;"Nn6SuWm0c307h32SiGkd9BaeQWlAktfD3KO8/edit?usp=sharing"",""เพชรบูรณ์!Q765"")+IMPORTRANGE(""https://docs.google.com/spreadsheets/d/1lOVebEIsI9qjGXl6EX66luk7wiuP2tBaryw-wKvv4e0/edit?usp=sharing"",""แพร่!Q765"")+IMPORTRANGE(""https://docs.google.com/spreadshe"&amp;"ets/d/1dQrvX0vEcN7Gu0fnZ0B5S90AeR19zth4XlExFBeExMY/edit?usp=sharing"",""แม่ฮ่องสอน!Q765"")+IMPORTRANGE(""https://docs.google.com/spreadsheets/d/1DY4XTNNwjluuxqdfdn6qvOSlMRrZqUtmYcZR0ttFiG4/edit?usp=sharing"",""ลำปาง!Q765"")+IMPORTRANGE(""https://docs.goog"&amp;"le.com/spreadsheets/d/1ICwG78r0OFT8biBlxnBF8r7she7gNSzOvJ958PWT09c/edit?usp=sharing"",""ลำพูน!Q765"")+IMPORTRANGE(""https://docs.google.com/spreadsheets/d/1B0f2xJpZUC6Z0xXnqKlZtEPzsf6L84eP1r1Q15seqRM/edit?usp=sharing"",""สุโขทัย!Q765"")+IMPORTRANGE(""http"&amp;"s://docs.google.com/spreadsheets/d/1v0b9pFQCsKUVExMei7AgY2yQkdeNQvtOssygGsXbiKo/edit?usp=sharing"",""อุตรดิตถ์!Q765"")+IMPORTRANGE(""https://docs.google.com/spreadsheets/d/1UsNK1e-WWiCo2PvGqdNfdme4m17_Ezd3J69EeeiQPD0/edit?usp=sharing"",""อุทัยธานี!Q765"")"),8462790)</f>
        <v>8462790</v>
      </c>
      <c r="R765" s="46">
        <f ca="1">IFERROR(__xludf.DUMMYFUNCTION("IMPORTRANGE(""https://docs.google.com/spreadsheets/d/1jTcq05yEiRwXcBMLjiodW9e4biSGYWAHcDj22rKWQ3s/edit?usp=sharing"",""กำแพงเพชร!R765"")+IMPORTRANGE(""https://docs.google.com/spreadsheets/d/1KS0zmDSZPk8KnTAbGN-Xk6MtX1YRZD0ldgdt20K4CRk/edit?usp=sharing"","&amp;"""เชียงราย!R765"")+IMPORTRANGE(""https://docs.google.com/spreadsheets/d/1rEDxBtusbi64tE0zunoIbsTVV16HeL0oJ6trHQeQ7K8/edit?usp=sharing"",""เชียงใหม่!R765"")+IMPORTRANGE(""https://docs.google.com/spreadsheets/d/1W6MnUbDkMi6xHnHko_XkFDO9kkuL6Wqyc-6OCDFjW9I/e"&amp;"dit?usp=sharing"",""ตาก!R765"")+IMPORTRANGE(""https://docs.google.com/spreadsheets/d/1IQAWArduLkta9LpYo4a_ULsyqdta6-6aDDiwpUnQT6c/edit?usp=sharing"",""นครสวรรค์!R765"")+IMPORTRANGE(""https://docs.google.com/spreadsheets/d/10s13Sk5xrltsiR-Zkbmk5DwIaDIKO8Xl"&amp;"bJAfqyT7Gvg/edit?usp=sharing"",""น่าน!R765"")+IMPORTRANGE(""https://docs.google.com/spreadsheets/d/1uu4nAn4Dbi1XREnLKKotUANlKXa7yCgRcgq8HEzQYW8/edit?usp=sharing"",""พะเยา!R765"")+IMPORTRANGE(""https://docs.google.com/spreadsheets/d/1xfJKIQxVOaPDIICqsflNlL"&amp;"u3JacTDk1FP9RH4phX7mI/edit?usp=sharing"",""พิจิตร!R765"")+IMPORTRANGE(""https://docs.google.com/spreadsheets/d/1JtRfZkJMHtEhI5RdRHxYUG4FIZHqKDpNyIuN7A1Q0_k/edit?usp=sharing"",""พิษณุโลก!R765"")+IMPORTRANGE(""https://docs.google.com/spreadsheets/d/1xlcVZWU"&amp;"Nn6SuWm0c307h32SiGkd9BaeQWlAktfD3KO8/edit?usp=sharing"",""เพชรบูรณ์!R765"")+IMPORTRANGE(""https://docs.google.com/spreadsheets/d/1lOVebEIsI9qjGXl6EX66luk7wiuP2tBaryw-wKvv4e0/edit?usp=sharing"",""แพร่!R765"")+IMPORTRANGE(""https://docs.google.com/spreadshe"&amp;"ets/d/1dQrvX0vEcN7Gu0fnZ0B5S90AeR19zth4XlExFBeExMY/edit?usp=sharing"",""แม่ฮ่องสอน!R765"")+IMPORTRANGE(""https://docs.google.com/spreadsheets/d/1DY4XTNNwjluuxqdfdn6qvOSlMRrZqUtmYcZR0ttFiG4/edit?usp=sharing"",""ลำปาง!R765"")+IMPORTRANGE(""https://docs.goog"&amp;"le.com/spreadsheets/d/1ICwG78r0OFT8biBlxnBF8r7she7gNSzOvJ958PWT09c/edit?usp=sharing"",""ลำพูน!R765"")+IMPORTRANGE(""https://docs.google.com/spreadsheets/d/1B0f2xJpZUC6Z0xXnqKlZtEPzsf6L84eP1r1Q15seqRM/edit?usp=sharing"",""สุโขทัย!R765"")+IMPORTRANGE(""http"&amp;"s://docs.google.com/spreadsheets/d/1v0b9pFQCsKUVExMei7AgY2yQkdeNQvtOssygGsXbiKo/edit?usp=sharing"",""อุตรดิตถ์!R765"")+IMPORTRANGE(""https://docs.google.com/spreadsheets/d/1UsNK1e-WWiCo2PvGqdNfdme4m17_Ezd3J69EeeiQPD0/edit?usp=sharing"",""อุทัยธานี!R765"")"),8462790)</f>
        <v>8462790</v>
      </c>
      <c r="S765" s="46">
        <f ca="1">IFERROR(__xludf.DUMMYFUNCTION("IMPORTRANGE(""https://docs.google.com/spreadsheets/d/1jTcq05yEiRwXcBMLjiodW9e4biSGYWAHcDj22rKWQ3s/edit?usp=sharing"",""กำแพงเพชร!S765"")+IMPORTRANGE(""https://docs.google.com/spreadsheets/d/1KS0zmDSZPk8KnTAbGN-Xk6MtX1YRZD0ldgdt20K4CRk/edit?usp=sharing"","&amp;"""เชียงราย!S765"")+IMPORTRANGE(""https://docs.google.com/spreadsheets/d/1rEDxBtusbi64tE0zunoIbsTVV16HeL0oJ6trHQeQ7K8/edit?usp=sharing"",""เชียงใหม่!S765"")+IMPORTRANGE(""https://docs.google.com/spreadsheets/d/1W6MnUbDkMi6xHnHko_XkFDO9kkuL6Wqyc-6OCDFjW9I/e"&amp;"dit?usp=sharing"",""ตาก!S765"")+IMPORTRANGE(""https://docs.google.com/spreadsheets/d/1IQAWArduLkta9LpYo4a_ULsyqdta6-6aDDiwpUnQT6c/edit?usp=sharing"",""นครสวรรค์!S765"")+IMPORTRANGE(""https://docs.google.com/spreadsheets/d/10s13Sk5xrltsiR-Zkbmk5DwIaDIKO8Xl"&amp;"bJAfqyT7Gvg/edit?usp=sharing"",""น่าน!S765"")+IMPORTRANGE(""https://docs.google.com/spreadsheets/d/1uu4nAn4Dbi1XREnLKKotUANlKXa7yCgRcgq8HEzQYW8/edit?usp=sharing"",""พะเยา!S765"")+IMPORTRANGE(""https://docs.google.com/spreadsheets/d/1xfJKIQxVOaPDIICqsflNlL"&amp;"u3JacTDk1FP9RH4phX7mI/edit?usp=sharing"",""พิจิตร!S765"")+IMPORTRANGE(""https://docs.google.com/spreadsheets/d/1JtRfZkJMHtEhI5RdRHxYUG4FIZHqKDpNyIuN7A1Q0_k/edit?usp=sharing"",""พิษณุโลก!S765"")+IMPORTRANGE(""https://docs.google.com/spreadsheets/d/1xlcVZWU"&amp;"Nn6SuWm0c307h32SiGkd9BaeQWlAktfD3KO8/edit?usp=sharing"",""เพชรบูรณ์!S765"")+IMPORTRANGE(""https://docs.google.com/spreadsheets/d/1lOVebEIsI9qjGXl6EX66luk7wiuP2tBaryw-wKvv4e0/edit?usp=sharing"",""แพร่!S765"")+IMPORTRANGE(""https://docs.google.com/spreadshe"&amp;"ets/d/1dQrvX0vEcN7Gu0fnZ0B5S90AeR19zth4XlExFBeExMY/edit?usp=sharing"",""แม่ฮ่องสอน!S765"")+IMPORTRANGE(""https://docs.google.com/spreadsheets/d/1DY4XTNNwjluuxqdfdn6qvOSlMRrZqUtmYcZR0ttFiG4/edit?usp=sharing"",""ลำปาง!S765"")+IMPORTRANGE(""https://docs.goog"&amp;"le.com/spreadsheets/d/1ICwG78r0OFT8biBlxnBF8r7she7gNSzOvJ958PWT09c/edit?usp=sharing"",""ลำพูน!S765"")+IMPORTRANGE(""https://docs.google.com/spreadsheets/d/1B0f2xJpZUC6Z0xXnqKlZtEPzsf6L84eP1r1Q15seqRM/edit?usp=sharing"",""สุโขทัย!S765"")+IMPORTRANGE(""http"&amp;"s://docs.google.com/spreadsheets/d/1v0b9pFQCsKUVExMei7AgY2yQkdeNQvtOssygGsXbiKo/edit?usp=sharing"",""อุตรดิตถ์!S765"")+IMPORTRANGE(""https://docs.google.com/spreadsheets/d/1UsNK1e-WWiCo2PvGqdNfdme4m17_Ezd3J69EeeiQPD0/edit?usp=sharing"",""อุทัยธานี!S765"")"),6165821.68)</f>
        <v>6165821.6799999997</v>
      </c>
      <c r="T765" s="46">
        <f t="shared" ca="1" si="526"/>
        <v>72.858025308438471</v>
      </c>
      <c r="U765" s="46">
        <f t="shared" ca="1" si="527"/>
        <v>72.858025308438471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">
        <f t="shared" ref="L766:N766" ca="1" si="534">L767+L768</f>
        <v>0</v>
      </c>
      <c r="M766" s="46">
        <f t="shared" ca="1" si="534"/>
        <v>0</v>
      </c>
      <c r="N766" s="46">
        <f t="shared" ca="1" si="534"/>
        <v>0</v>
      </c>
      <c r="O766" s="46">
        <f t="shared" ca="1" si="523"/>
        <v>0</v>
      </c>
      <c r="P766" s="46">
        <f t="shared" ca="1" si="524"/>
        <v>0</v>
      </c>
      <c r="Q766" s="46">
        <f t="shared" ref="Q766:S766" ca="1" si="535">Q767+Q768</f>
        <v>0</v>
      </c>
      <c r="R766" s="46">
        <f t="shared" ca="1" si="535"/>
        <v>0</v>
      </c>
      <c r="S766" s="46">
        <f t="shared" ca="1" si="535"/>
        <v>0</v>
      </c>
      <c r="T766" s="46">
        <f t="shared" ca="1" si="526"/>
        <v>0</v>
      </c>
      <c r="U766" s="46">
        <f t="shared" ca="1" si="527"/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48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7" s="48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7" s="48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7" s="48">
        <f t="shared" ca="1" si="523"/>
        <v>0</v>
      </c>
      <c r="P767" s="48">
        <f t="shared" ca="1" si="524"/>
        <v>0</v>
      </c>
      <c r="Q767" s="48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7" s="48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7" s="48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7" s="48">
        <f t="shared" ca="1" si="526"/>
        <v>0</v>
      </c>
      <c r="U767" s="48">
        <f t="shared" ca="1" si="527"/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">
        <f ca="1">IFERROR(__xludf.DUMMYFUNCTION("IMPORTRANGE(""https://docs.google.com/spreadsheets/d/1jTcq05yEiRwXcBMLjiodW9e4biSGYWAHcDj22rKWQ3s/edit?usp=sharing"",""กำแพงเพชร!L768"")+IMPORTRANGE(""https://docs.google.com/spreadsheets/d/1KS0zmDSZPk8KnTAbGN-Xk6MtX1YRZD0ldgdt20K4CRk/edit?usp=sharing"","&amp;"""เชียงราย!L768"")+IMPORTRANGE(""https://docs.google.com/spreadsheets/d/1rEDxBtusbi64tE0zunoIbsTVV16HeL0oJ6trHQeQ7K8/edit?usp=sharing"",""เชียงใหม่!L768"")+IMPORTRANGE(""https://docs.google.com/spreadsheets/d/1W6MnUbDkMi6xHnHko_XkFDO9kkuL6Wqyc-6OCDFjW9I/e"&amp;"dit?usp=sharing"",""ตาก!L768"")+IMPORTRANGE(""https://docs.google.com/spreadsheets/d/1IQAWArduLkta9LpYo4a_ULsyqdta6-6aDDiwpUnQT6c/edit?usp=sharing"",""นครสวรรค์!L768"")+IMPORTRANGE(""https://docs.google.com/spreadsheets/d/10s13Sk5xrltsiR-Zkbmk5DwIaDIKO8Xl"&amp;"bJAfqyT7Gvg/edit?usp=sharing"",""น่าน!L768"")+IMPORTRANGE(""https://docs.google.com/spreadsheets/d/1uu4nAn4Dbi1XREnLKKotUANlKXa7yCgRcgq8HEzQYW8/edit?usp=sharing"",""พะเยา!L768"")+IMPORTRANGE(""https://docs.google.com/spreadsheets/d/1xfJKIQxVOaPDIICqsflNlL"&amp;"u3JacTDk1FP9RH4phX7mI/edit?usp=sharing"",""พิจิตร!L768"")+IMPORTRANGE(""https://docs.google.com/spreadsheets/d/1JtRfZkJMHtEhI5RdRHxYUG4FIZHqKDpNyIuN7A1Q0_k/edit?usp=sharing"",""พิษณุโลก!L768"")+IMPORTRANGE(""https://docs.google.com/spreadsheets/d/1xlcVZWU"&amp;"Nn6SuWm0c307h32SiGkd9BaeQWlAktfD3KO8/edit?usp=sharing"",""เพชรบูรณ์!L768"")+IMPORTRANGE(""https://docs.google.com/spreadsheets/d/1lOVebEIsI9qjGXl6EX66luk7wiuP2tBaryw-wKvv4e0/edit?usp=sharing"",""แพร่!L768"")+IMPORTRANGE(""https://docs.google.com/spreadshe"&amp;"ets/d/1dQrvX0vEcN7Gu0fnZ0B5S90AeR19zth4XlExFBeExMY/edit?usp=sharing"",""แม่ฮ่องสอน!L768"")+IMPORTRANGE(""https://docs.google.com/spreadsheets/d/1DY4XTNNwjluuxqdfdn6qvOSlMRrZqUtmYcZR0ttFiG4/edit?usp=sharing"",""ลำปาง!L768"")+IMPORTRANGE(""https://docs.goog"&amp;"le.com/spreadsheets/d/1ICwG78r0OFT8biBlxnBF8r7she7gNSzOvJ958PWT09c/edit?usp=sharing"",""ลำพูน!L768"")+IMPORTRANGE(""https://docs.google.com/spreadsheets/d/1B0f2xJpZUC6Z0xXnqKlZtEPzsf6L84eP1r1Q15seqRM/edit?usp=sharing"",""สุโขทัย!L768"")+IMPORTRANGE(""http"&amp;"s://docs.google.com/spreadsheets/d/1v0b9pFQCsKUVExMei7AgY2yQkdeNQvtOssygGsXbiKo/edit?usp=sharing"",""อุตรดิตถ์!L768"")+IMPORTRANGE(""https://docs.google.com/spreadsheets/d/1UsNK1e-WWiCo2PvGqdNfdme4m17_Ezd3J69EeeiQPD0/edit?usp=sharing"",""อุทัยธานี!L768"")"),0)</f>
        <v>0</v>
      </c>
      <c r="M768" s="46">
        <f ca="1">IFERROR(__xludf.DUMMYFUNCTION("IMPORTRANGE(""https://docs.google.com/spreadsheets/d/1jTcq05yEiRwXcBMLjiodW9e4biSGYWAHcDj22rKWQ3s/edit?usp=sharing"",""กำแพงเพชร!M768"")+IMPORTRANGE(""https://docs.google.com/spreadsheets/d/1KS0zmDSZPk8KnTAbGN-Xk6MtX1YRZD0ldgdt20K4CRk/edit?usp=sharing"","&amp;"""เชียงราย!M768"")+IMPORTRANGE(""https://docs.google.com/spreadsheets/d/1rEDxBtusbi64tE0zunoIbsTVV16HeL0oJ6trHQeQ7K8/edit?usp=sharing"",""เชียงใหม่!M768"")+IMPORTRANGE(""https://docs.google.com/spreadsheets/d/1W6MnUbDkMi6xHnHko_XkFDO9kkuL6Wqyc-6OCDFjW9I/e"&amp;"dit?usp=sharing"",""ตาก!M768"")+IMPORTRANGE(""https://docs.google.com/spreadsheets/d/1IQAWArduLkta9LpYo4a_ULsyqdta6-6aDDiwpUnQT6c/edit?usp=sharing"",""นครสวรรค์!M768"")+IMPORTRANGE(""https://docs.google.com/spreadsheets/d/10s13Sk5xrltsiR-Zkbmk5DwIaDIKO8Xl"&amp;"bJAfqyT7Gvg/edit?usp=sharing"",""น่าน!M768"")+IMPORTRANGE(""https://docs.google.com/spreadsheets/d/1uu4nAn4Dbi1XREnLKKotUANlKXa7yCgRcgq8HEzQYW8/edit?usp=sharing"",""พะเยา!M768"")+IMPORTRANGE(""https://docs.google.com/spreadsheets/d/1xfJKIQxVOaPDIICqsflNlL"&amp;"u3JacTDk1FP9RH4phX7mI/edit?usp=sharing"",""พิจิตร!M768"")+IMPORTRANGE(""https://docs.google.com/spreadsheets/d/1JtRfZkJMHtEhI5RdRHxYUG4FIZHqKDpNyIuN7A1Q0_k/edit?usp=sharing"",""พิษณุโลก!M768"")+IMPORTRANGE(""https://docs.google.com/spreadsheets/d/1xlcVZWU"&amp;"Nn6SuWm0c307h32SiGkd9BaeQWlAktfD3KO8/edit?usp=sharing"",""เพชรบูรณ์!M768"")+IMPORTRANGE(""https://docs.google.com/spreadsheets/d/1lOVebEIsI9qjGXl6EX66luk7wiuP2tBaryw-wKvv4e0/edit?usp=sharing"",""แพร่!M768"")+IMPORTRANGE(""https://docs.google.com/spreadshe"&amp;"ets/d/1dQrvX0vEcN7Gu0fnZ0B5S90AeR19zth4XlExFBeExMY/edit?usp=sharing"",""แม่ฮ่องสอน!M768"")+IMPORTRANGE(""https://docs.google.com/spreadsheets/d/1DY4XTNNwjluuxqdfdn6qvOSlMRrZqUtmYcZR0ttFiG4/edit?usp=sharing"",""ลำปาง!M768"")+IMPORTRANGE(""https://docs.goog"&amp;"le.com/spreadsheets/d/1ICwG78r0OFT8biBlxnBF8r7she7gNSzOvJ958PWT09c/edit?usp=sharing"",""ลำพูน!M768"")+IMPORTRANGE(""https://docs.google.com/spreadsheets/d/1B0f2xJpZUC6Z0xXnqKlZtEPzsf6L84eP1r1Q15seqRM/edit?usp=sharing"",""สุโขทัย!M768"")+IMPORTRANGE(""http"&amp;"s://docs.google.com/spreadsheets/d/1v0b9pFQCsKUVExMei7AgY2yQkdeNQvtOssygGsXbiKo/edit?usp=sharing"",""อุตรดิตถ์!M768"")+IMPORTRANGE(""https://docs.google.com/spreadsheets/d/1UsNK1e-WWiCo2PvGqdNfdme4m17_Ezd3J69EeeiQPD0/edit?usp=sharing"",""อุทัยธานี!M768"")"),0)</f>
        <v>0</v>
      </c>
      <c r="N768" s="46">
        <f ca="1">IFERROR(__xludf.DUMMYFUNCTION("IMPORTRANGE(""https://docs.google.com/spreadsheets/d/1jTcq05yEiRwXcBMLjiodW9e4biSGYWAHcDj22rKWQ3s/edit?usp=sharing"",""กำแพงเพชร!N768"")+IMPORTRANGE(""https://docs.google.com/spreadsheets/d/1KS0zmDSZPk8KnTAbGN-Xk6MtX1YRZD0ldgdt20K4CRk/edit?usp=sharing"","&amp;"""เชียงราย!N768"")+IMPORTRANGE(""https://docs.google.com/spreadsheets/d/1rEDxBtusbi64tE0zunoIbsTVV16HeL0oJ6trHQeQ7K8/edit?usp=sharing"",""เชียงใหม่!N768"")+IMPORTRANGE(""https://docs.google.com/spreadsheets/d/1W6MnUbDkMi6xHnHko_XkFDO9kkuL6Wqyc-6OCDFjW9I/e"&amp;"dit?usp=sharing"",""ตาก!N768"")+IMPORTRANGE(""https://docs.google.com/spreadsheets/d/1IQAWArduLkta9LpYo4a_ULsyqdta6-6aDDiwpUnQT6c/edit?usp=sharing"",""นครสวรรค์!N768"")+IMPORTRANGE(""https://docs.google.com/spreadsheets/d/10s13Sk5xrltsiR-Zkbmk5DwIaDIKO8Xl"&amp;"bJAfqyT7Gvg/edit?usp=sharing"",""น่าน!N768"")+IMPORTRANGE(""https://docs.google.com/spreadsheets/d/1uu4nAn4Dbi1XREnLKKotUANlKXa7yCgRcgq8HEzQYW8/edit?usp=sharing"",""พะเยา!N768"")+IMPORTRANGE(""https://docs.google.com/spreadsheets/d/1xfJKIQxVOaPDIICqsflNlL"&amp;"u3JacTDk1FP9RH4phX7mI/edit?usp=sharing"",""พิจิตร!N768"")+IMPORTRANGE(""https://docs.google.com/spreadsheets/d/1JtRfZkJMHtEhI5RdRHxYUG4FIZHqKDpNyIuN7A1Q0_k/edit?usp=sharing"",""พิษณุโลก!N768"")+IMPORTRANGE(""https://docs.google.com/spreadsheets/d/1xlcVZWU"&amp;"Nn6SuWm0c307h32SiGkd9BaeQWlAktfD3KO8/edit?usp=sharing"",""เพชรบูรณ์!N768"")+IMPORTRANGE(""https://docs.google.com/spreadsheets/d/1lOVebEIsI9qjGXl6EX66luk7wiuP2tBaryw-wKvv4e0/edit?usp=sharing"",""แพร่!N768"")+IMPORTRANGE(""https://docs.google.com/spreadshe"&amp;"ets/d/1dQrvX0vEcN7Gu0fnZ0B5S90AeR19zth4XlExFBeExMY/edit?usp=sharing"",""แม่ฮ่องสอน!N768"")+IMPORTRANGE(""https://docs.google.com/spreadsheets/d/1DY4XTNNwjluuxqdfdn6qvOSlMRrZqUtmYcZR0ttFiG4/edit?usp=sharing"",""ลำปาง!N768"")+IMPORTRANGE(""https://docs.goog"&amp;"le.com/spreadsheets/d/1ICwG78r0OFT8biBlxnBF8r7she7gNSzOvJ958PWT09c/edit?usp=sharing"",""ลำพูน!N768"")+IMPORTRANGE(""https://docs.google.com/spreadsheets/d/1B0f2xJpZUC6Z0xXnqKlZtEPzsf6L84eP1r1Q15seqRM/edit?usp=sharing"",""สุโขทัย!N768"")+IMPORTRANGE(""http"&amp;"s://docs.google.com/spreadsheets/d/1v0b9pFQCsKUVExMei7AgY2yQkdeNQvtOssygGsXbiKo/edit?usp=sharing"",""อุตรดิตถ์!N768"")+IMPORTRANGE(""https://docs.google.com/spreadsheets/d/1UsNK1e-WWiCo2PvGqdNfdme4m17_Ezd3J69EeeiQPD0/edit?usp=sharing"",""อุทัยธานี!N768"")"),0)</f>
        <v>0</v>
      </c>
      <c r="O768" s="46">
        <f t="shared" ca="1" si="523"/>
        <v>0</v>
      </c>
      <c r="P768" s="46">
        <f t="shared" ca="1" si="524"/>
        <v>0</v>
      </c>
      <c r="Q768" s="46">
        <f ca="1">IFERROR(__xludf.DUMMYFUNCTION("IMPORTRANGE(""https://docs.google.com/spreadsheets/d/1jTcq05yEiRwXcBMLjiodW9e4biSGYWAHcDj22rKWQ3s/edit?usp=sharing"",""กำแพงเพชร!Q768"")+IMPORTRANGE(""https://docs.google.com/spreadsheets/d/1KS0zmDSZPk8KnTAbGN-Xk6MtX1YRZD0ldgdt20K4CRk/edit?usp=sharing"","&amp;"""เชียงราย!Q768"")+IMPORTRANGE(""https://docs.google.com/spreadsheets/d/1rEDxBtusbi64tE0zunoIbsTVV16HeL0oJ6trHQeQ7K8/edit?usp=sharing"",""เชียงใหม่!Q768"")+IMPORTRANGE(""https://docs.google.com/spreadsheets/d/1W6MnUbDkMi6xHnHko_XkFDO9kkuL6Wqyc-6OCDFjW9I/e"&amp;"dit?usp=sharing"",""ตาก!Q768"")+IMPORTRANGE(""https://docs.google.com/spreadsheets/d/1IQAWArduLkta9LpYo4a_ULsyqdta6-6aDDiwpUnQT6c/edit?usp=sharing"",""นครสวรรค์!Q768"")+IMPORTRANGE(""https://docs.google.com/spreadsheets/d/10s13Sk5xrltsiR-Zkbmk5DwIaDIKO8Xl"&amp;"bJAfqyT7Gvg/edit?usp=sharing"",""น่าน!Q768"")+IMPORTRANGE(""https://docs.google.com/spreadsheets/d/1uu4nAn4Dbi1XREnLKKotUANlKXa7yCgRcgq8HEzQYW8/edit?usp=sharing"",""พะเยา!Q768"")+IMPORTRANGE(""https://docs.google.com/spreadsheets/d/1xfJKIQxVOaPDIICqsflNlL"&amp;"u3JacTDk1FP9RH4phX7mI/edit?usp=sharing"",""พิจิตร!Q768"")+IMPORTRANGE(""https://docs.google.com/spreadsheets/d/1JtRfZkJMHtEhI5RdRHxYUG4FIZHqKDpNyIuN7A1Q0_k/edit?usp=sharing"",""พิษณุโลก!Q768"")+IMPORTRANGE(""https://docs.google.com/spreadsheets/d/1xlcVZWU"&amp;"Nn6SuWm0c307h32SiGkd9BaeQWlAktfD3KO8/edit?usp=sharing"",""เพชรบูรณ์!Q768"")+IMPORTRANGE(""https://docs.google.com/spreadsheets/d/1lOVebEIsI9qjGXl6EX66luk7wiuP2tBaryw-wKvv4e0/edit?usp=sharing"",""แพร่!Q768"")+IMPORTRANGE(""https://docs.google.com/spreadshe"&amp;"ets/d/1dQrvX0vEcN7Gu0fnZ0B5S90AeR19zth4XlExFBeExMY/edit?usp=sharing"",""แม่ฮ่องสอน!Q768"")+IMPORTRANGE(""https://docs.google.com/spreadsheets/d/1DY4XTNNwjluuxqdfdn6qvOSlMRrZqUtmYcZR0ttFiG4/edit?usp=sharing"",""ลำปาง!Q768"")+IMPORTRANGE(""https://docs.goog"&amp;"le.com/spreadsheets/d/1ICwG78r0OFT8biBlxnBF8r7she7gNSzOvJ958PWT09c/edit?usp=sharing"",""ลำพูน!Q768"")+IMPORTRANGE(""https://docs.google.com/spreadsheets/d/1B0f2xJpZUC6Z0xXnqKlZtEPzsf6L84eP1r1Q15seqRM/edit?usp=sharing"",""สุโขทัย!Q768"")+IMPORTRANGE(""http"&amp;"s://docs.google.com/spreadsheets/d/1v0b9pFQCsKUVExMei7AgY2yQkdeNQvtOssygGsXbiKo/edit?usp=sharing"",""อุตรดิตถ์!Q768"")+IMPORTRANGE(""https://docs.google.com/spreadsheets/d/1UsNK1e-WWiCo2PvGqdNfdme4m17_Ezd3J69EeeiQPD0/edit?usp=sharing"",""อุทัยธานี!Q768"")"),0)</f>
        <v>0</v>
      </c>
      <c r="R768" s="46">
        <f ca="1">IFERROR(__xludf.DUMMYFUNCTION("IMPORTRANGE(""https://docs.google.com/spreadsheets/d/1jTcq05yEiRwXcBMLjiodW9e4biSGYWAHcDj22rKWQ3s/edit?usp=sharing"",""กำแพงเพชร!R768"")+IMPORTRANGE(""https://docs.google.com/spreadsheets/d/1KS0zmDSZPk8KnTAbGN-Xk6MtX1YRZD0ldgdt20K4CRk/edit?usp=sharing"","&amp;"""เชียงราย!R768"")+IMPORTRANGE(""https://docs.google.com/spreadsheets/d/1rEDxBtusbi64tE0zunoIbsTVV16HeL0oJ6trHQeQ7K8/edit?usp=sharing"",""เชียงใหม่!R768"")+IMPORTRANGE(""https://docs.google.com/spreadsheets/d/1W6MnUbDkMi6xHnHko_XkFDO9kkuL6Wqyc-6OCDFjW9I/e"&amp;"dit?usp=sharing"",""ตาก!R768"")+IMPORTRANGE(""https://docs.google.com/spreadsheets/d/1IQAWArduLkta9LpYo4a_ULsyqdta6-6aDDiwpUnQT6c/edit?usp=sharing"",""นครสวรรค์!R768"")+IMPORTRANGE(""https://docs.google.com/spreadsheets/d/10s13Sk5xrltsiR-Zkbmk5DwIaDIKO8Xl"&amp;"bJAfqyT7Gvg/edit?usp=sharing"",""น่าน!R768"")+IMPORTRANGE(""https://docs.google.com/spreadsheets/d/1uu4nAn4Dbi1XREnLKKotUANlKXa7yCgRcgq8HEzQYW8/edit?usp=sharing"",""พะเยา!R768"")+IMPORTRANGE(""https://docs.google.com/spreadsheets/d/1xfJKIQxVOaPDIICqsflNlL"&amp;"u3JacTDk1FP9RH4phX7mI/edit?usp=sharing"",""พิจิตร!R768"")+IMPORTRANGE(""https://docs.google.com/spreadsheets/d/1JtRfZkJMHtEhI5RdRHxYUG4FIZHqKDpNyIuN7A1Q0_k/edit?usp=sharing"",""พิษณุโลก!R768"")+IMPORTRANGE(""https://docs.google.com/spreadsheets/d/1xlcVZWU"&amp;"Nn6SuWm0c307h32SiGkd9BaeQWlAktfD3KO8/edit?usp=sharing"",""เพชรบูรณ์!R768"")+IMPORTRANGE(""https://docs.google.com/spreadsheets/d/1lOVebEIsI9qjGXl6EX66luk7wiuP2tBaryw-wKvv4e0/edit?usp=sharing"",""แพร่!R768"")+IMPORTRANGE(""https://docs.google.com/spreadshe"&amp;"ets/d/1dQrvX0vEcN7Gu0fnZ0B5S90AeR19zth4XlExFBeExMY/edit?usp=sharing"",""แม่ฮ่องสอน!R768"")+IMPORTRANGE(""https://docs.google.com/spreadsheets/d/1DY4XTNNwjluuxqdfdn6qvOSlMRrZqUtmYcZR0ttFiG4/edit?usp=sharing"",""ลำปาง!R768"")+IMPORTRANGE(""https://docs.goog"&amp;"le.com/spreadsheets/d/1ICwG78r0OFT8biBlxnBF8r7she7gNSzOvJ958PWT09c/edit?usp=sharing"",""ลำพูน!R768"")+IMPORTRANGE(""https://docs.google.com/spreadsheets/d/1B0f2xJpZUC6Z0xXnqKlZtEPzsf6L84eP1r1Q15seqRM/edit?usp=sharing"",""สุโขทัย!R768"")+IMPORTRANGE(""http"&amp;"s://docs.google.com/spreadsheets/d/1v0b9pFQCsKUVExMei7AgY2yQkdeNQvtOssygGsXbiKo/edit?usp=sharing"",""อุตรดิตถ์!R768"")+IMPORTRANGE(""https://docs.google.com/spreadsheets/d/1UsNK1e-WWiCo2PvGqdNfdme4m17_Ezd3J69EeeiQPD0/edit?usp=sharing"",""อุทัยธานี!R768"")"),0)</f>
        <v>0</v>
      </c>
      <c r="S768" s="46">
        <f ca="1">IFERROR(__xludf.DUMMYFUNCTION("IMPORTRANGE(""https://docs.google.com/spreadsheets/d/1jTcq05yEiRwXcBMLjiodW9e4biSGYWAHcDj22rKWQ3s/edit?usp=sharing"",""กำแพงเพชร!S768"")+IMPORTRANGE(""https://docs.google.com/spreadsheets/d/1KS0zmDSZPk8KnTAbGN-Xk6MtX1YRZD0ldgdt20K4CRk/edit?usp=sharing"","&amp;"""เชียงราย!S768"")+IMPORTRANGE(""https://docs.google.com/spreadsheets/d/1rEDxBtusbi64tE0zunoIbsTVV16HeL0oJ6trHQeQ7K8/edit?usp=sharing"",""เชียงใหม่!S768"")+IMPORTRANGE(""https://docs.google.com/spreadsheets/d/1W6MnUbDkMi6xHnHko_XkFDO9kkuL6Wqyc-6OCDFjW9I/e"&amp;"dit?usp=sharing"",""ตาก!S768"")+IMPORTRANGE(""https://docs.google.com/spreadsheets/d/1IQAWArduLkta9LpYo4a_ULsyqdta6-6aDDiwpUnQT6c/edit?usp=sharing"",""นครสวรรค์!S768"")+IMPORTRANGE(""https://docs.google.com/spreadsheets/d/10s13Sk5xrltsiR-Zkbmk5DwIaDIKO8Xl"&amp;"bJAfqyT7Gvg/edit?usp=sharing"",""น่าน!S768"")+IMPORTRANGE(""https://docs.google.com/spreadsheets/d/1uu4nAn4Dbi1XREnLKKotUANlKXa7yCgRcgq8HEzQYW8/edit?usp=sharing"",""พะเยา!S768"")+IMPORTRANGE(""https://docs.google.com/spreadsheets/d/1xfJKIQxVOaPDIICqsflNlL"&amp;"u3JacTDk1FP9RH4phX7mI/edit?usp=sharing"",""พิจิตร!S768"")+IMPORTRANGE(""https://docs.google.com/spreadsheets/d/1JtRfZkJMHtEhI5RdRHxYUG4FIZHqKDpNyIuN7A1Q0_k/edit?usp=sharing"",""พิษณุโลก!S768"")+IMPORTRANGE(""https://docs.google.com/spreadsheets/d/1xlcVZWU"&amp;"Nn6SuWm0c307h32SiGkd9BaeQWlAktfD3KO8/edit?usp=sharing"",""เพชรบูรณ์!S768"")+IMPORTRANGE(""https://docs.google.com/spreadsheets/d/1lOVebEIsI9qjGXl6EX66luk7wiuP2tBaryw-wKvv4e0/edit?usp=sharing"",""แพร่!S768"")+IMPORTRANGE(""https://docs.google.com/spreadshe"&amp;"ets/d/1dQrvX0vEcN7Gu0fnZ0B5S90AeR19zth4XlExFBeExMY/edit?usp=sharing"",""แม่ฮ่องสอน!S768"")+IMPORTRANGE(""https://docs.google.com/spreadsheets/d/1DY4XTNNwjluuxqdfdn6qvOSlMRrZqUtmYcZR0ttFiG4/edit?usp=sharing"",""ลำปาง!S768"")+IMPORTRANGE(""https://docs.goog"&amp;"le.com/spreadsheets/d/1ICwG78r0OFT8biBlxnBF8r7she7gNSzOvJ958PWT09c/edit?usp=sharing"",""ลำพูน!S768"")+IMPORTRANGE(""https://docs.google.com/spreadsheets/d/1B0f2xJpZUC6Z0xXnqKlZtEPzsf6L84eP1r1Q15seqRM/edit?usp=sharing"",""สุโขทัย!S768"")+IMPORTRANGE(""http"&amp;"s://docs.google.com/spreadsheets/d/1v0b9pFQCsKUVExMei7AgY2yQkdeNQvtOssygGsXbiKo/edit?usp=sharing"",""อุตรดิตถ์!S768"")+IMPORTRANGE(""https://docs.google.com/spreadsheets/d/1UsNK1e-WWiCo2PvGqdNfdme4m17_Ezd3J69EeeiQPD0/edit?usp=sharing"",""อุทัยธานี!S768"")"),0)</f>
        <v>0</v>
      </c>
      <c r="T768" s="46">
        <f t="shared" ca="1" si="526"/>
        <v>0</v>
      </c>
      <c r="U768" s="46">
        <f t="shared" ca="1" si="527"/>
        <v>0</v>
      </c>
    </row>
    <row r="769" spans="1:21" ht="19.5" x14ac:dyDescent="0.3">
      <c r="A769" s="138"/>
      <c r="B769" s="139"/>
      <c r="C769" s="498" t="s">
        <v>18</v>
      </c>
      <c r="D769" s="460" t="s">
        <v>38</v>
      </c>
      <c r="E769" s="203"/>
      <c r="F769" s="141"/>
      <c r="G769" s="142"/>
      <c r="H769" s="178"/>
      <c r="I769" s="44"/>
      <c r="J769" s="44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323">
        <f ca="1">IFERROR(__xludf.DUMMYFUNCTION("IMPORTRANGE(""https://docs.google.com/spreadsheets/d/1jTcq05yEiRwXcBMLjiodW9e4biSGYWAHcDj22rKWQ3s/edit?usp=sharing"",""กำแพงเพชร!I770"")+IMPORTRANGE(""https://docs.google.com/spreadsheets/d/1KS0zmDSZPk8KnTAbGN-Xk6MtX1YRZD0ldgdt20K4CRk/edit?usp=sharing"","&amp;"""เชียงราย!I770"")+IMPORTRANGE(""https://docs.google.com/spreadsheets/d/1rEDxBtusbi64tE0zunoIbsTVV16HeL0oJ6trHQeQ7K8/edit?usp=sharing"",""เชียงใหม่!I770"")+IMPORTRANGE(""https://docs.google.com/spreadsheets/d/1W6MnUbDkMi6xHnHko_XkFDO9kkuL6Wqyc-6OCDFjW9I/e"&amp;"dit?usp=sharing"",""ตาก!I770"")+IMPORTRANGE(""https://docs.google.com/spreadsheets/d/1IQAWArduLkta9LpYo4a_ULsyqdta6-6aDDiwpUnQT6c/edit?usp=sharing"",""นครสวรรค์!I770"")+IMPORTRANGE(""https://docs.google.com/spreadsheets/d/10s13Sk5xrltsiR-Zkbmk5DwIaDIKO8Xl"&amp;"bJAfqyT7Gvg/edit?usp=sharing"",""น่าน!I770"")+IMPORTRANGE(""https://docs.google.com/spreadsheets/d/1uu4nAn4Dbi1XREnLKKotUANlKXa7yCgRcgq8HEzQYW8/edit?usp=sharing"",""พะเยา!I770"")+IMPORTRANGE(""https://docs.google.com/spreadsheets/d/1xfJKIQxVOaPDIICqsflNlL"&amp;"u3JacTDk1FP9RH4phX7mI/edit?usp=sharing"",""พิจิตร!I770"")+IMPORTRANGE(""https://docs.google.com/spreadsheets/d/1JtRfZkJMHtEhI5RdRHxYUG4FIZHqKDpNyIuN7A1Q0_k/edit?usp=sharing"",""พิษณุโลก!I770"")+IMPORTRANGE(""https://docs.google.com/spreadsheets/d/1xlcVZWU"&amp;"Nn6SuWm0c307h32SiGkd9BaeQWlAktfD3KO8/edit?usp=sharing"",""เพชรบูรณ์!I770"")+IMPORTRANGE(""https://docs.google.com/spreadsheets/d/1lOVebEIsI9qjGXl6EX66luk7wiuP2tBaryw-wKvv4e0/edit?usp=sharing"",""แพร่!I770"")+IMPORTRANGE(""https://docs.google.com/spreadshe"&amp;"ets/d/1dQrvX0vEcN7Gu0fnZ0B5S90AeR19zth4XlExFBeExMY/edit?usp=sharing"",""แม่ฮ่องสอน!I770"")+IMPORTRANGE(""https://docs.google.com/spreadsheets/d/1DY4XTNNwjluuxqdfdn6qvOSlMRrZqUtmYcZR0ttFiG4/edit?usp=sharing"",""ลำปาง!I770"")+IMPORTRANGE(""https://docs.goog"&amp;"le.com/spreadsheets/d/1ICwG78r0OFT8biBlxnBF8r7she7gNSzOvJ958PWT09c/edit?usp=sharing"",""ลำพูน!I770"")+IMPORTRANGE(""https://docs.google.com/spreadsheets/d/1B0f2xJpZUC6Z0xXnqKlZtEPzsf6L84eP1r1Q15seqRM/edit?usp=sharing"",""สุโขทัย!I770"")+IMPORTRANGE(""http"&amp;"s://docs.google.com/spreadsheets/d/1v0b9pFQCsKUVExMei7AgY2yQkdeNQvtOssygGsXbiKo/edit?usp=sharing"",""อุตรดิตถ์!I770"")+IMPORTRANGE(""https://docs.google.com/spreadsheets/d/1UsNK1e-WWiCo2PvGqdNfdme4m17_Ezd3J69EeeiQPD0/edit?usp=sharing"",""อุทัยธานี!I770"")"),21)</f>
        <v>21</v>
      </c>
      <c r="J770" s="323">
        <f ca="1">IFERROR(__xludf.DUMMYFUNCTION("IMPORTRANGE(""https://docs.google.com/spreadsheets/d/1jTcq05yEiRwXcBMLjiodW9e4biSGYWAHcDj22rKWQ3s/edit?usp=sharing"",""กำแพงเพชร!J770"")+IMPORTRANGE(""https://docs.google.com/spreadsheets/d/1KS0zmDSZPk8KnTAbGN-Xk6MtX1YRZD0ldgdt20K4CRk/edit?usp=sharing"","&amp;"""เชียงราย!J770"")+IMPORTRANGE(""https://docs.google.com/spreadsheets/d/1rEDxBtusbi64tE0zunoIbsTVV16HeL0oJ6trHQeQ7K8/edit?usp=sharing"",""เชียงใหม่!J770"")+IMPORTRANGE(""https://docs.google.com/spreadsheets/d/1W6MnUbDkMi6xHnHko_XkFDO9kkuL6Wqyc-6OCDFjW9I/e"&amp;"dit?usp=sharing"",""ตาก!J770"")+IMPORTRANGE(""https://docs.google.com/spreadsheets/d/1IQAWArduLkta9LpYo4a_ULsyqdta6-6aDDiwpUnQT6c/edit?usp=sharing"",""นครสวรรค์!J770"")+IMPORTRANGE(""https://docs.google.com/spreadsheets/d/10s13Sk5xrltsiR-Zkbmk5DwIaDIKO8Xl"&amp;"bJAfqyT7Gvg/edit?usp=sharing"",""น่าน!J770"")+IMPORTRANGE(""https://docs.google.com/spreadsheets/d/1uu4nAn4Dbi1XREnLKKotUANlKXa7yCgRcgq8HEzQYW8/edit?usp=sharing"",""พะเยา!J770"")+IMPORTRANGE(""https://docs.google.com/spreadsheets/d/1xfJKIQxVOaPDIICqsflNlL"&amp;"u3JacTDk1FP9RH4phX7mI/edit?usp=sharing"",""พิจิตร!J770"")+IMPORTRANGE(""https://docs.google.com/spreadsheets/d/1JtRfZkJMHtEhI5RdRHxYUG4FIZHqKDpNyIuN7A1Q0_k/edit?usp=sharing"",""พิษณุโลก!J770"")+IMPORTRANGE(""https://docs.google.com/spreadsheets/d/1xlcVZWU"&amp;"Nn6SuWm0c307h32SiGkd9BaeQWlAktfD3KO8/edit?usp=sharing"",""เพชรบูรณ์!J770"")+IMPORTRANGE(""https://docs.google.com/spreadsheets/d/1lOVebEIsI9qjGXl6EX66luk7wiuP2tBaryw-wKvv4e0/edit?usp=sharing"",""แพร่!J770"")+IMPORTRANGE(""https://docs.google.com/spreadshe"&amp;"ets/d/1dQrvX0vEcN7Gu0fnZ0B5S90AeR19zth4XlExFBeExMY/edit?usp=sharing"",""แม่ฮ่องสอน!J770"")+IMPORTRANGE(""https://docs.google.com/spreadsheets/d/1DY4XTNNwjluuxqdfdn6qvOSlMRrZqUtmYcZR0ttFiG4/edit?usp=sharing"",""ลำปาง!J770"")+IMPORTRANGE(""https://docs.goog"&amp;"le.com/spreadsheets/d/1ICwG78r0OFT8biBlxnBF8r7she7gNSzOvJ958PWT09c/edit?usp=sharing"",""ลำพูน!J770"")+IMPORTRANGE(""https://docs.google.com/spreadsheets/d/1B0f2xJpZUC6Z0xXnqKlZtEPzsf6L84eP1r1Q15seqRM/edit?usp=sharing"",""สุโขทัย!J770"")+IMPORTRANGE(""http"&amp;"s://docs.google.com/spreadsheets/d/1v0b9pFQCsKUVExMei7AgY2yQkdeNQvtOssygGsXbiKo/edit?usp=sharing"",""อุตรดิตถ์!J770"")+IMPORTRANGE(""https://docs.google.com/spreadsheets/d/1UsNK1e-WWiCo2PvGqdNfdme4m17_Ezd3J69EeeiQPD0/edit?usp=sharing"",""อุทัยธานี!J770"")"),0)</f>
        <v>0</v>
      </c>
      <c r="K770" s="48">
        <f ca="1">IF(I770&gt;0,J770*100/I770,0)</f>
        <v>0</v>
      </c>
      <c r="L770" s="4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66">
        <f ca="1">IFERROR(__xludf.DUMMYFUNCTION("IMPORTRANGE(""https://docs.google.com/spreadsheets/d/1jTcq05yEiRwXcBMLjiodW9e4biSGYWAHcDj22rKWQ3s/edit?usp=sharing"",""กำแพงเพชร!I772"")+IMPORTRANGE(""https://docs.google.com/spreadsheets/d/1KS0zmDSZPk8KnTAbGN-Xk6MtX1YRZD0ldgdt20K4CRk/edit?usp=sharing"","&amp;"""เชียงราย!I772"")+IMPORTRANGE(""https://docs.google.com/spreadsheets/d/1rEDxBtusbi64tE0zunoIbsTVV16HeL0oJ6trHQeQ7K8/edit?usp=sharing"",""เชียงใหม่!I772"")+IMPORTRANGE(""https://docs.google.com/spreadsheets/d/1W6MnUbDkMi6xHnHko_XkFDO9kkuL6Wqyc-6OCDFjW9I/e"&amp;"dit?usp=sharing"",""ตาก!I772"")+IMPORTRANGE(""https://docs.google.com/spreadsheets/d/1IQAWArduLkta9LpYo4a_ULsyqdta6-6aDDiwpUnQT6c/edit?usp=sharing"",""นครสวรรค์!I772"")+IMPORTRANGE(""https://docs.google.com/spreadsheets/d/10s13Sk5xrltsiR-Zkbmk5DwIaDIKO8Xl"&amp;"bJAfqyT7Gvg/edit?usp=sharing"",""น่าน!I772"")+IMPORTRANGE(""https://docs.google.com/spreadsheets/d/1uu4nAn4Dbi1XREnLKKotUANlKXa7yCgRcgq8HEzQYW8/edit?usp=sharing"",""พะเยา!I772"")+IMPORTRANGE(""https://docs.google.com/spreadsheets/d/1xfJKIQxVOaPDIICqsflNlL"&amp;"u3JacTDk1FP9RH4phX7mI/edit?usp=sharing"",""พิจิตร!I772"")+IMPORTRANGE(""https://docs.google.com/spreadsheets/d/1JtRfZkJMHtEhI5RdRHxYUG4FIZHqKDpNyIuN7A1Q0_k/edit?usp=sharing"",""พิษณุโลก!I772"")+IMPORTRANGE(""https://docs.google.com/spreadsheets/d/1xlcVZWU"&amp;"Nn6SuWm0c307h32SiGkd9BaeQWlAktfD3KO8/edit?usp=sharing"",""เพชรบูรณ์!I772"")+IMPORTRANGE(""https://docs.google.com/spreadsheets/d/1lOVebEIsI9qjGXl6EX66luk7wiuP2tBaryw-wKvv4e0/edit?usp=sharing"",""แพร่!I772"")+IMPORTRANGE(""https://docs.google.com/spreadshe"&amp;"ets/d/1dQrvX0vEcN7Gu0fnZ0B5S90AeR19zth4XlExFBeExMY/edit?usp=sharing"",""แม่ฮ่องสอน!I772"")+IMPORTRANGE(""https://docs.google.com/spreadsheets/d/1DY4XTNNwjluuxqdfdn6qvOSlMRrZqUtmYcZR0ttFiG4/edit?usp=sharing"",""ลำปาง!I772"")+IMPORTRANGE(""https://docs.goog"&amp;"le.com/spreadsheets/d/1ICwG78r0OFT8biBlxnBF8r7she7gNSzOvJ958PWT09c/edit?usp=sharing"",""ลำพูน!I772"")+IMPORTRANGE(""https://docs.google.com/spreadsheets/d/1B0f2xJpZUC6Z0xXnqKlZtEPzsf6L84eP1r1Q15seqRM/edit?usp=sharing"",""สุโขทัย!I772"")+IMPORTRANGE(""http"&amp;"s://docs.google.com/spreadsheets/d/1v0b9pFQCsKUVExMei7AgY2yQkdeNQvtOssygGsXbiKo/edit?usp=sharing"",""อุตรดิตถ์!I772"")+IMPORTRANGE(""https://docs.google.com/spreadsheets/d/1UsNK1e-WWiCo2PvGqdNfdme4m17_Ezd3J69EeeiQPD0/edit?usp=sharing"",""อุทัยธานี!I772"")"),1115)</f>
        <v>1115</v>
      </c>
      <c r="J772" s="167">
        <f ca="1">IFERROR(__xludf.DUMMYFUNCTION("IMPORTRANGE(""https://docs.google.com/spreadsheets/d/1jTcq05yEiRwXcBMLjiodW9e4biSGYWAHcDj22rKWQ3s/edit?usp=sharing"",""กำแพงเพชร!J772"")+IMPORTRANGE(""https://docs.google.com/spreadsheets/d/1KS0zmDSZPk8KnTAbGN-Xk6MtX1YRZD0ldgdt20K4CRk/edit?usp=sharing"","&amp;"""เชียงราย!J772"")+IMPORTRANGE(""https://docs.google.com/spreadsheets/d/1rEDxBtusbi64tE0zunoIbsTVV16HeL0oJ6trHQeQ7K8/edit?usp=sharing"",""เชียงใหม่!J772"")+IMPORTRANGE(""https://docs.google.com/spreadsheets/d/1W6MnUbDkMi6xHnHko_XkFDO9kkuL6Wqyc-6OCDFjW9I/e"&amp;"dit?usp=sharing"",""ตาก!J772"")+IMPORTRANGE(""https://docs.google.com/spreadsheets/d/1IQAWArduLkta9LpYo4a_ULsyqdta6-6aDDiwpUnQT6c/edit?usp=sharing"",""นครสวรรค์!J772"")+IMPORTRANGE(""https://docs.google.com/spreadsheets/d/10s13Sk5xrltsiR-Zkbmk5DwIaDIKO8Xl"&amp;"bJAfqyT7Gvg/edit?usp=sharing"",""น่าน!J772"")+IMPORTRANGE(""https://docs.google.com/spreadsheets/d/1uu4nAn4Dbi1XREnLKKotUANlKXa7yCgRcgq8HEzQYW8/edit?usp=sharing"",""พะเยา!J772"")+IMPORTRANGE(""https://docs.google.com/spreadsheets/d/1xfJKIQxVOaPDIICqsflNlL"&amp;"u3JacTDk1FP9RH4phX7mI/edit?usp=sharing"",""พิจิตร!J772"")+IMPORTRANGE(""https://docs.google.com/spreadsheets/d/1JtRfZkJMHtEhI5RdRHxYUG4FIZHqKDpNyIuN7A1Q0_k/edit?usp=sharing"",""พิษณุโลก!J772"")+IMPORTRANGE(""https://docs.google.com/spreadsheets/d/1xlcVZWU"&amp;"Nn6SuWm0c307h32SiGkd9BaeQWlAktfD3KO8/edit?usp=sharing"",""เพชรบูรณ์!J772"")+IMPORTRANGE(""https://docs.google.com/spreadsheets/d/1lOVebEIsI9qjGXl6EX66luk7wiuP2tBaryw-wKvv4e0/edit?usp=sharing"",""แพร่!J772"")+IMPORTRANGE(""https://docs.google.com/spreadshe"&amp;"ets/d/1dQrvX0vEcN7Gu0fnZ0B5S90AeR19zth4XlExFBeExMY/edit?usp=sharing"",""แม่ฮ่องสอน!J772"")+IMPORTRANGE(""https://docs.google.com/spreadsheets/d/1DY4XTNNwjluuxqdfdn6qvOSlMRrZqUtmYcZR0ttFiG4/edit?usp=sharing"",""ลำปาง!J772"")+IMPORTRANGE(""https://docs.goog"&amp;"le.com/spreadsheets/d/1ICwG78r0OFT8biBlxnBF8r7she7gNSzOvJ958PWT09c/edit?usp=sharing"",""ลำพูน!J772"")+IMPORTRANGE(""https://docs.google.com/spreadsheets/d/1B0f2xJpZUC6Z0xXnqKlZtEPzsf6L84eP1r1Q15seqRM/edit?usp=sharing"",""สุโขทัย!J772"")+IMPORTRANGE(""http"&amp;"s://docs.google.com/spreadsheets/d/1v0b9pFQCsKUVExMei7AgY2yQkdeNQvtOssygGsXbiKo/edit?usp=sharing"",""อุตรดิตถ์!J772"")+IMPORTRANGE(""https://docs.google.com/spreadsheets/d/1UsNK1e-WWiCo2PvGqdNfdme4m17_Ezd3J69EeeiQPD0/edit?usp=sharing"",""อุทัยธานี!J772"")"),1115)</f>
        <v>1115</v>
      </c>
      <c r="K772" s="46">
        <f ca="1">IF(I772&gt;0,J772*100/I772,0)</f>
        <v>100</v>
      </c>
      <c r="L772" s="4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66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4" s="167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3235)</f>
        <v>3235</v>
      </c>
      <c r="K774" s="46">
        <f ca="1">IF(I774&gt;0,J774*100/I774,0)</f>
        <v>100</v>
      </c>
      <c r="L774" s="4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66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3235)</f>
        <v>3235</v>
      </c>
      <c r="J775" s="167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2495)</f>
        <v>2495</v>
      </c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7">
        <f ca="1">IFERROR(__xludf.DUMMYFUNCTION("IMPORTRANGE(""https://docs.google.com/spreadsheets/d/1jTcq05yEiRwXcBMLjiodW9e4biSGYWAHcDj22rKWQ3s/edit?usp=sharing"",""กำแพงเพชร!I776"")+IMPORTRANGE(""https://docs.google.com/spreadsheets/d/1KS0zmDSZPk8KnTAbGN-Xk6MtX1YRZD0ldgdt20K4CRk/edit?usp=sharing"","&amp;"""เชียงราย!I776"")+IMPORTRANGE(""https://docs.google.com/spreadsheets/d/1rEDxBtusbi64tE0zunoIbsTVV16HeL0oJ6trHQeQ7K8/edit?usp=sharing"",""เชียงใหม่!I776"")+IMPORTRANGE(""https://docs.google.com/spreadsheets/d/1W6MnUbDkMi6xHnHko_XkFDO9kkuL6Wqyc-6OCDFjW9I/e"&amp;"dit?usp=sharing"",""ตาก!I776"")+IMPORTRANGE(""https://docs.google.com/spreadsheets/d/1IQAWArduLkta9LpYo4a_ULsyqdta6-6aDDiwpUnQT6c/edit?usp=sharing"",""นครสวรรค์!I776"")+IMPORTRANGE(""https://docs.google.com/spreadsheets/d/10s13Sk5xrltsiR-Zkbmk5DwIaDIKO8Xl"&amp;"bJAfqyT7Gvg/edit?usp=sharing"",""น่าน!I776"")+IMPORTRANGE(""https://docs.google.com/spreadsheets/d/1uu4nAn4Dbi1XREnLKKotUANlKXa7yCgRcgq8HEzQYW8/edit?usp=sharing"",""พะเยา!I776"")+IMPORTRANGE(""https://docs.google.com/spreadsheets/d/1xfJKIQxVOaPDIICqsflNlL"&amp;"u3JacTDk1FP9RH4phX7mI/edit?usp=sharing"",""พิจิตร!I776"")+IMPORTRANGE(""https://docs.google.com/spreadsheets/d/1JtRfZkJMHtEhI5RdRHxYUG4FIZHqKDpNyIuN7A1Q0_k/edit?usp=sharing"",""พิษณุโลก!I776"")+IMPORTRANGE(""https://docs.google.com/spreadsheets/d/1xlcVZWU"&amp;"Nn6SuWm0c307h32SiGkd9BaeQWlAktfD3KO8/edit?usp=sharing"",""เพชรบูรณ์!I776"")+IMPORTRANGE(""https://docs.google.com/spreadsheets/d/1lOVebEIsI9qjGXl6EX66luk7wiuP2tBaryw-wKvv4e0/edit?usp=sharing"",""แพร่!I776"")+IMPORTRANGE(""https://docs.google.com/spreadshe"&amp;"ets/d/1dQrvX0vEcN7Gu0fnZ0B5S90AeR19zth4XlExFBeExMY/edit?usp=sharing"",""แม่ฮ่องสอน!I776"")+IMPORTRANGE(""https://docs.google.com/spreadsheets/d/1DY4XTNNwjluuxqdfdn6qvOSlMRrZqUtmYcZR0ttFiG4/edit?usp=sharing"",""ลำปาง!I776"")+IMPORTRANGE(""https://docs.goog"&amp;"le.com/spreadsheets/d/1ICwG78r0OFT8biBlxnBF8r7she7gNSzOvJ958PWT09c/edit?usp=sharing"",""ลำพูน!I776"")+IMPORTRANGE(""https://docs.google.com/spreadsheets/d/1B0f2xJpZUC6Z0xXnqKlZtEPzsf6L84eP1r1Q15seqRM/edit?usp=sharing"",""สุโขทัย!I776"")+IMPORTRANGE(""http"&amp;"s://docs.google.com/spreadsheets/d/1v0b9pFQCsKUVExMei7AgY2yQkdeNQvtOssygGsXbiKo/edit?usp=sharing"",""อุตรดิตถ์!I776"")+IMPORTRANGE(""https://docs.google.com/spreadsheets/d/1UsNK1e-WWiCo2PvGqdNfdme4m17_Ezd3J69EeeiQPD0/edit?usp=sharing"",""อุทัยธานี!I776"")"),1115)</f>
        <v>1115</v>
      </c>
      <c r="J776" s="344">
        <f ca="1">IFERROR(__xludf.DUMMYFUNCTION("IMPORTRANGE(""https://docs.google.com/spreadsheets/d/1jTcq05yEiRwXcBMLjiodW9e4biSGYWAHcDj22rKWQ3s/edit?usp=sharing"",""กำแพงเพชร!J776"")+IMPORTRANGE(""https://docs.google.com/spreadsheets/d/1KS0zmDSZPk8KnTAbGN-Xk6MtX1YRZD0ldgdt20K4CRk/edit?usp=sharing"","&amp;"""เชียงราย!J776"")+IMPORTRANGE(""https://docs.google.com/spreadsheets/d/1rEDxBtusbi64tE0zunoIbsTVV16HeL0oJ6trHQeQ7K8/edit?usp=sharing"",""เชียงใหม่!J776"")+IMPORTRANGE(""https://docs.google.com/spreadsheets/d/1W6MnUbDkMi6xHnHko_XkFDO9kkuL6Wqyc-6OCDFjW9I/e"&amp;"dit?usp=sharing"",""ตาก!J776"")+IMPORTRANGE(""https://docs.google.com/spreadsheets/d/1IQAWArduLkta9LpYo4a_ULsyqdta6-6aDDiwpUnQT6c/edit?usp=sharing"",""นครสวรรค์!J776"")+IMPORTRANGE(""https://docs.google.com/spreadsheets/d/10s13Sk5xrltsiR-Zkbmk5DwIaDIKO8Xl"&amp;"bJAfqyT7Gvg/edit?usp=sharing"",""น่าน!J776"")+IMPORTRANGE(""https://docs.google.com/spreadsheets/d/1uu4nAn4Dbi1XREnLKKotUANlKXa7yCgRcgq8HEzQYW8/edit?usp=sharing"",""พะเยา!J776"")+IMPORTRANGE(""https://docs.google.com/spreadsheets/d/1xfJKIQxVOaPDIICqsflNlL"&amp;"u3JacTDk1FP9RH4phX7mI/edit?usp=sharing"",""พิจิตร!J776"")+IMPORTRANGE(""https://docs.google.com/spreadsheets/d/1JtRfZkJMHtEhI5RdRHxYUG4FIZHqKDpNyIuN7A1Q0_k/edit?usp=sharing"",""พิษณุโลก!J776"")+IMPORTRANGE(""https://docs.google.com/spreadsheets/d/1xlcVZWU"&amp;"Nn6SuWm0c307h32SiGkd9BaeQWlAktfD3KO8/edit?usp=sharing"",""เพชรบูรณ์!J776"")+IMPORTRANGE(""https://docs.google.com/spreadsheets/d/1lOVebEIsI9qjGXl6EX66luk7wiuP2tBaryw-wKvv4e0/edit?usp=sharing"",""แพร่!J776"")+IMPORTRANGE(""https://docs.google.com/spreadshe"&amp;"ets/d/1dQrvX0vEcN7Gu0fnZ0B5S90AeR19zth4XlExFBeExMY/edit?usp=sharing"",""แม่ฮ่องสอน!J776"")+IMPORTRANGE(""https://docs.google.com/spreadsheets/d/1DY4XTNNwjluuxqdfdn6qvOSlMRrZqUtmYcZR0ttFiG4/edit?usp=sharing"",""ลำปาง!J776"")+IMPORTRANGE(""https://docs.goog"&amp;"le.com/spreadsheets/d/1ICwG78r0OFT8biBlxnBF8r7she7gNSzOvJ958PWT09c/edit?usp=sharing"",""ลำพูน!J776"")+IMPORTRANGE(""https://docs.google.com/spreadsheets/d/1B0f2xJpZUC6Z0xXnqKlZtEPzsf6L84eP1r1Q15seqRM/edit?usp=sharing"",""สุโขทัย!J776"")+IMPORTRANGE(""http"&amp;"s://docs.google.com/spreadsheets/d/1v0b9pFQCsKUVExMei7AgY2yQkdeNQvtOssygGsXbiKo/edit?usp=sharing"",""อุตรดิตถ์!J776"")+IMPORTRANGE(""https://docs.google.com/spreadsheets/d/1UsNK1e-WWiCo2PvGqdNfdme4m17_Ezd3J69EeeiQPD0/edit?usp=sharing"",""อุทัยธานี!J776"")"),935)</f>
        <v>935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00" t="s">
        <v>298</v>
      </c>
      <c r="B777" s="501"/>
      <c r="C777" s="501"/>
      <c r="D777" s="501"/>
      <c r="E777" s="502"/>
      <c r="F777" s="502"/>
      <c r="G777" s="503"/>
      <c r="H777" s="504" t="str">
        <f ca="1">IFERROR(__xludf.DUMMYFUNCTION("IMPORTRANGE(""https://docs.google.com/spreadsheets/d/1gNPQPjxUj63ZZXIIIm2aX4x3w7PhAZpC9JuXdbpWwUQ/edit?usp=sharing"",""Sheet1!b2"")")," (ข้อมูล ณ 31 ก.ค. 67)")</f>
        <v xml:space="preserve"> 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208"/>
      <c r="B778" s="209" t="s">
        <v>299</v>
      </c>
      <c r="C778" s="158"/>
      <c r="D778" s="158"/>
      <c r="E778" s="40"/>
      <c r="F778" s="40"/>
      <c r="G778" s="42"/>
      <c r="H778" s="133" t="s">
        <v>14</v>
      </c>
      <c r="I778" s="184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46942834.87)</f>
        <v>46942834.869999997</v>
      </c>
      <c r="J778" s="184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40795088.52)</f>
        <v>40795088.520000003</v>
      </c>
      <c r="K778" s="224">
        <f t="shared" ref="K778:K785" ca="1" si="536">IF(I778&gt;0,J778*100/I778,0)</f>
        <v>86.903759930508869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208"/>
      <c r="B779" s="158"/>
      <c r="C779" s="158"/>
      <c r="D779" s="158"/>
      <c r="E779" s="40"/>
      <c r="F779" s="40"/>
      <c r="G779" s="42"/>
      <c r="H779" s="133" t="s">
        <v>35</v>
      </c>
      <c r="I779" s="184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2466)</f>
        <v>2466</v>
      </c>
      <c r="J779" s="184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2896)</f>
        <v>2896</v>
      </c>
      <c r="K779" s="224">
        <f t="shared" ca="1" si="536"/>
        <v>117.43714517437145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208"/>
      <c r="B780" s="209" t="s">
        <v>300</v>
      </c>
      <c r="C780" s="158"/>
      <c r="D780" s="158"/>
      <c r="E780" s="40"/>
      <c r="F780" s="40"/>
      <c r="G780" s="42"/>
      <c r="H780" s="133" t="s">
        <v>14</v>
      </c>
      <c r="I780" s="184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107490388.96)</f>
        <v>107490388.95999999</v>
      </c>
      <c r="J780" s="184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9802226.93999999)</f>
        <v>9802226.9399999902</v>
      </c>
      <c r="K780" s="224">
        <f t="shared" ca="1" si="536"/>
        <v>9.1191659411034944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208"/>
      <c r="B781" s="158"/>
      <c r="C781" s="158"/>
      <c r="D781" s="158"/>
      <c r="E781" s="40"/>
      <c r="F781" s="40"/>
      <c r="G781" s="42"/>
      <c r="H781" s="133" t="s">
        <v>35</v>
      </c>
      <c r="I781" s="184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4200)</f>
        <v>4200</v>
      </c>
      <c r="J781" s="184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1666)</f>
        <v>1666</v>
      </c>
      <c r="K781" s="224">
        <f t="shared" ca="1" si="536"/>
        <v>39.666666666666664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208"/>
      <c r="B782" s="209" t="s">
        <v>301</v>
      </c>
      <c r="C782" s="158"/>
      <c r="D782" s="158"/>
      <c r="E782" s="40"/>
      <c r="F782" s="40"/>
      <c r="G782" s="42"/>
      <c r="H782" s="133" t="s">
        <v>14</v>
      </c>
      <c r="I782" s="184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54234674.2099999)</f>
        <v>54234674.209999897</v>
      </c>
      <c r="J782" s="184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20295015.78)</f>
        <v>20295015.780000001</v>
      </c>
      <c r="K782" s="224">
        <f t="shared" ca="1" si="536"/>
        <v>37.420738808933351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208"/>
      <c r="B783" s="158"/>
      <c r="C783" s="158"/>
      <c r="D783" s="158"/>
      <c r="E783" s="40"/>
      <c r="F783" s="40"/>
      <c r="G783" s="42"/>
      <c r="H783" s="133" t="s">
        <v>35</v>
      </c>
      <c r="I783" s="184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4694)</f>
        <v>4694</v>
      </c>
      <c r="J783" s="184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1170)</f>
        <v>1170</v>
      </c>
      <c r="K783" s="224">
        <f t="shared" ca="1" si="536"/>
        <v>24.925436727737537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208"/>
      <c r="B784" s="209" t="s">
        <v>302</v>
      </c>
      <c r="C784" s="158"/>
      <c r="D784" s="158"/>
      <c r="E784" s="40"/>
      <c r="F784" s="40"/>
      <c r="G784" s="42"/>
      <c r="H784" s="133" t="s">
        <v>14</v>
      </c>
      <c r="I784" s="184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111024000)</f>
        <v>111024000</v>
      </c>
      <c r="J784" s="184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62638000)</f>
        <v>62638000</v>
      </c>
      <c r="K784" s="224">
        <f t="shared" ca="1" si="536"/>
        <v>56.418432050727773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39"/>
      <c r="B785" s="2"/>
      <c r="C785" s="2"/>
      <c r="D785" s="2"/>
      <c r="E785" s="1"/>
      <c r="F785" s="1"/>
      <c r="G785" s="52"/>
      <c r="H785" s="341" t="s">
        <v>35</v>
      </c>
      <c r="I785" s="188">
        <f ca="1">IFERROR(__xludf.DUMMYFUNCTION("IMPORTRANGE(""https://docs.google.com/spreadsheets/d/1jTcq05yEiRwXcBMLjiodW9e4biSGYWAHcDj22rKWQ3s/edit?usp=sharing"",""กำแพงเพชร!I785"")+IMPORTRANGE(""https://docs.google.com/spreadsheets/d/1KS0zmDSZPk8KnTAbGN-Xk6MtX1YRZD0ldgdt20K4CRk/edit?usp=sharing"","&amp;"""เชียงราย!I785"")+IMPORTRANGE(""https://docs.google.com/spreadsheets/d/1rEDxBtusbi64tE0zunoIbsTVV16HeL0oJ6trHQeQ7K8/edit?usp=sharing"",""เชียงใหม่!I785"")+IMPORTRANGE(""https://docs.google.com/spreadsheets/d/1W6MnUbDkMi6xHnHko_XkFDO9kkuL6Wqyc-6OCDFjW9I/e"&amp;"dit?usp=sharing"",""ตาก!I785"")+IMPORTRANGE(""https://docs.google.com/spreadsheets/d/1IQAWArduLkta9LpYo4a_ULsyqdta6-6aDDiwpUnQT6c/edit?usp=sharing"",""นครสวรรค์!I785"")+IMPORTRANGE(""https://docs.google.com/spreadsheets/d/10s13Sk5xrltsiR-Zkbmk5DwIaDIKO8Xl"&amp;"bJAfqyT7Gvg/edit?usp=sharing"",""น่าน!I785"")+IMPORTRANGE(""https://docs.google.com/spreadsheets/d/1uu4nAn4Dbi1XREnLKKotUANlKXa7yCgRcgq8HEzQYW8/edit?usp=sharing"",""พะเยา!I785"")+IMPORTRANGE(""https://docs.google.com/spreadsheets/d/1xfJKIQxVOaPDIICqsflNlL"&amp;"u3JacTDk1FP9RH4phX7mI/edit?usp=sharing"",""พิจิตร!I785"")+IMPORTRANGE(""https://docs.google.com/spreadsheets/d/1JtRfZkJMHtEhI5RdRHxYUG4FIZHqKDpNyIuN7A1Q0_k/edit?usp=sharing"",""พิษณุโลก!I785"")+IMPORTRANGE(""https://docs.google.com/spreadsheets/d/1xlcVZWU"&amp;"Nn6SuWm0c307h32SiGkd9BaeQWlAktfD3KO8/edit?usp=sharing"",""เพชรบูรณ์!I785"")+IMPORTRANGE(""https://docs.google.com/spreadsheets/d/1lOVebEIsI9qjGXl6EX66luk7wiuP2tBaryw-wKvv4e0/edit?usp=sharing"",""แพร่!I785"")+IMPORTRANGE(""https://docs.google.com/spreadshe"&amp;"ets/d/1dQrvX0vEcN7Gu0fnZ0B5S90AeR19zth4XlExFBeExMY/edit?usp=sharing"",""แม่ฮ่องสอน!I785"")+IMPORTRANGE(""https://docs.google.com/spreadsheets/d/1DY4XTNNwjluuxqdfdn6qvOSlMRrZqUtmYcZR0ttFiG4/edit?usp=sharing"",""ลำปาง!I785"")+IMPORTRANGE(""https://docs.goog"&amp;"le.com/spreadsheets/d/1ICwG78r0OFT8biBlxnBF8r7she7gNSzOvJ958PWT09c/edit?usp=sharing"",""ลำพูน!I785"")+IMPORTRANGE(""https://docs.google.com/spreadsheets/d/1B0f2xJpZUC6Z0xXnqKlZtEPzsf6L84eP1r1Q15seqRM/edit?usp=sharing"",""สุโขทัย!I785"")+IMPORTRANGE(""http"&amp;"s://docs.google.com/spreadsheets/d/1v0b9pFQCsKUVExMei7AgY2yQkdeNQvtOssygGsXbiKo/edit?usp=sharing"",""อุตรดิตถ์!I785"")+IMPORTRANGE(""https://docs.google.com/spreadsheets/d/1UsNK1e-WWiCo2PvGqdNfdme4m17_Ezd3J69EeeiQPD0/edit?usp=sharing"",""อุทัยธานี!I785"")"),3859)</f>
        <v>3859</v>
      </c>
      <c r="J785" s="188">
        <f ca="1">IFERROR(__xludf.DUMMYFUNCTION("IMPORTRANGE(""https://docs.google.com/spreadsheets/d/1jTcq05yEiRwXcBMLjiodW9e4biSGYWAHcDj22rKWQ3s/edit?usp=sharing"",""กำแพงเพชร!J785"")+IMPORTRANGE(""https://docs.google.com/spreadsheets/d/1KS0zmDSZPk8KnTAbGN-Xk6MtX1YRZD0ldgdt20K4CRk/edit?usp=sharing"","&amp;"""เชียงราย!J785"")+IMPORTRANGE(""https://docs.google.com/spreadsheets/d/1rEDxBtusbi64tE0zunoIbsTVV16HeL0oJ6trHQeQ7K8/edit?usp=sharing"",""เชียงใหม่!J785"")+IMPORTRANGE(""https://docs.google.com/spreadsheets/d/1W6MnUbDkMi6xHnHko_XkFDO9kkuL6Wqyc-6OCDFjW9I/e"&amp;"dit?usp=sharing"",""ตาก!J785"")+IMPORTRANGE(""https://docs.google.com/spreadsheets/d/1IQAWArduLkta9LpYo4a_ULsyqdta6-6aDDiwpUnQT6c/edit?usp=sharing"",""นครสวรรค์!J785"")+IMPORTRANGE(""https://docs.google.com/spreadsheets/d/10s13Sk5xrltsiR-Zkbmk5DwIaDIKO8Xl"&amp;"bJAfqyT7Gvg/edit?usp=sharing"",""น่าน!J785"")+IMPORTRANGE(""https://docs.google.com/spreadsheets/d/1uu4nAn4Dbi1XREnLKKotUANlKXa7yCgRcgq8HEzQYW8/edit?usp=sharing"",""พะเยา!J785"")+IMPORTRANGE(""https://docs.google.com/spreadsheets/d/1xfJKIQxVOaPDIICqsflNlL"&amp;"u3JacTDk1FP9RH4phX7mI/edit?usp=sharing"",""พิจิตร!J785"")+IMPORTRANGE(""https://docs.google.com/spreadsheets/d/1JtRfZkJMHtEhI5RdRHxYUG4FIZHqKDpNyIuN7A1Q0_k/edit?usp=sharing"",""พิษณุโลก!J785"")+IMPORTRANGE(""https://docs.google.com/spreadsheets/d/1xlcVZWU"&amp;"Nn6SuWm0c307h32SiGkd9BaeQWlAktfD3KO8/edit?usp=sharing"",""เพชรบูรณ์!J785"")+IMPORTRANGE(""https://docs.google.com/spreadsheets/d/1lOVebEIsI9qjGXl6EX66luk7wiuP2tBaryw-wKvv4e0/edit?usp=sharing"",""แพร่!J785"")+IMPORTRANGE(""https://docs.google.com/spreadshe"&amp;"ets/d/1dQrvX0vEcN7Gu0fnZ0B5S90AeR19zth4XlExFBeExMY/edit?usp=sharing"",""แม่ฮ่องสอน!J785"")+IMPORTRANGE(""https://docs.google.com/spreadsheets/d/1DY4XTNNwjluuxqdfdn6qvOSlMRrZqUtmYcZR0ttFiG4/edit?usp=sharing"",""ลำปาง!J785"")+IMPORTRANGE(""https://docs.goog"&amp;"le.com/spreadsheets/d/1ICwG78r0OFT8biBlxnBF8r7she7gNSzOvJ958PWT09c/edit?usp=sharing"",""ลำพูน!J785"")+IMPORTRANGE(""https://docs.google.com/spreadsheets/d/1B0f2xJpZUC6Z0xXnqKlZtEPzsf6L84eP1r1Q15seqRM/edit?usp=sharing"",""สุโขทัย!J785"")+IMPORTRANGE(""http"&amp;"s://docs.google.com/spreadsheets/d/1v0b9pFQCsKUVExMei7AgY2yQkdeNQvtOssygGsXbiKo/edit?usp=sharing"",""อุตรดิตถ์!J785"")+IMPORTRANGE(""https://docs.google.com/spreadsheets/d/1UsNK1e-WWiCo2PvGqdNfdme4m17_Ezd3J69EeeiQPD0/edit?usp=sharing"",""อุทัยธานี!J785"")"),1852)</f>
        <v>1852</v>
      </c>
      <c r="K785" s="508">
        <f t="shared" ca="1" si="536"/>
        <v>47.991707696294377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509"/>
      <c r="B786" s="509"/>
      <c r="C786" s="509"/>
      <c r="D786" s="509"/>
      <c r="E786" s="165"/>
      <c r="F786" s="165"/>
      <c r="G786" s="165"/>
      <c r="H786" s="509"/>
      <c r="I786" s="510"/>
      <c r="J786" s="510"/>
      <c r="K786" s="511"/>
      <c r="L786" s="511"/>
      <c r="M786" s="511"/>
      <c r="N786" s="511"/>
      <c r="O786" s="511"/>
      <c r="P786" s="511"/>
      <c r="Q786" s="511"/>
      <c r="R786" s="511"/>
      <c r="S786" s="511"/>
      <c r="T786" s="511"/>
      <c r="U786" s="511"/>
    </row>
    <row r="787" spans="1:21" ht="16.5" x14ac:dyDescent="0.25">
      <c r="A787" s="512" t="s">
        <v>303</v>
      </c>
      <c r="B787" s="509"/>
      <c r="C787" s="509"/>
      <c r="D787" s="509"/>
      <c r="E787" s="165"/>
      <c r="F787" s="165"/>
      <c r="G787" s="165"/>
      <c r="H787" s="509"/>
      <c r="I787" s="510"/>
      <c r="J787" s="510"/>
      <c r="K787" s="511"/>
      <c r="L787" s="511"/>
      <c r="M787" s="511"/>
      <c r="N787" s="511"/>
      <c r="O787" s="511"/>
      <c r="P787" s="511"/>
      <c r="Q787" s="511"/>
      <c r="R787" s="511"/>
      <c r="S787" s="511"/>
      <c r="T787" s="511"/>
      <c r="U787" s="511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509"/>
      <c r="C788" s="509"/>
      <c r="D788" s="509"/>
      <c r="E788" s="165"/>
      <c r="F788" s="165"/>
      <c r="G788" s="165"/>
      <c r="H788" s="509"/>
      <c r="I788" s="510"/>
      <c r="J788" s="510"/>
      <c r="K788" s="511"/>
      <c r="L788" s="511"/>
      <c r="M788" s="511"/>
      <c r="N788" s="511"/>
      <c r="O788" s="511"/>
      <c r="P788" s="511"/>
      <c r="Q788" s="511"/>
      <c r="R788" s="511"/>
      <c r="S788" s="511"/>
      <c r="T788" s="511"/>
      <c r="U788" s="511"/>
    </row>
    <row r="789" spans="1:21" ht="16.5" x14ac:dyDescent="0.25">
      <c r="A789" s="51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509"/>
      <c r="C789" s="509"/>
      <c r="D789" s="509"/>
      <c r="E789" s="165"/>
      <c r="F789" s="165"/>
      <c r="G789" s="165"/>
      <c r="H789" s="509"/>
      <c r="I789" s="510"/>
      <c r="J789" s="510"/>
      <c r="K789" s="511"/>
      <c r="L789" s="511"/>
      <c r="M789" s="511"/>
      <c r="N789" s="511"/>
      <c r="O789" s="511"/>
      <c r="P789" s="511"/>
      <c r="Q789" s="511"/>
      <c r="R789" s="511"/>
      <c r="S789" s="511"/>
      <c r="T789" s="511"/>
      <c r="U789" s="511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 gridLines="1"/>
  <pageMargins left="0.70866141732283472" right="0.70866141732283472" top="0.74803149606299213" bottom="0.74803149606299213" header="0" footer="0"/>
  <pageSetup paperSize="9" scale="35" fitToHeight="0" pageOrder="overThenDown" orientation="landscape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70E5E-4D04-43D5-98CA-28F52A4367DA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336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7397690</v>
      </c>
      <c r="M18" s="755">
        <f ca="1">M19+M20</f>
        <v>8869463.0199999996</v>
      </c>
      <c r="N18" s="755">
        <f ca="1">N19+N20</f>
        <v>7292660.2299999995</v>
      </c>
      <c r="O18" s="755">
        <f ca="1">IF(L18&gt;0,N18*100/L18,0)</f>
        <v>98.580235587054872</v>
      </c>
      <c r="P18" s="755">
        <f ca="1">IF(M18&gt;0,N18*100/M18,0)</f>
        <v>82.222116643990475</v>
      </c>
      <c r="Q18" s="755">
        <f ca="1">Q19+Q20</f>
        <v>3010673.39</v>
      </c>
      <c r="R18" s="755">
        <f ca="1">R19+R20</f>
        <v>3014873</v>
      </c>
      <c r="S18" s="755">
        <f ca="1">S19+S20</f>
        <v>1629189.25</v>
      </c>
      <c r="T18" s="755">
        <f ca="1">IF(Q18&gt;0,S18*100/Q18,0)</f>
        <v>54.113782498340015</v>
      </c>
      <c r="U18" s="755">
        <f ca="1">IF(R18&gt;0,S18*100/R18,0)</f>
        <v>54.038403939403089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7397690</v>
      </c>
      <c r="M20" s="794">
        <f ca="1">M23+M26</f>
        <v>8869463.0199999996</v>
      </c>
      <c r="N20" s="794">
        <f ca="1">N23+N26</f>
        <v>7292660.2299999995</v>
      </c>
      <c r="O20" s="794">
        <f ca="1">IF(L20&gt;0,N20*100/L20,0)</f>
        <v>98.580235587054872</v>
      </c>
      <c r="P20" s="794">
        <f ca="1">IF(M20&gt;0,N20*100/M20,0)</f>
        <v>82.222116643990475</v>
      </c>
      <c r="Q20" s="794">
        <f ca="1">Q23+Q26</f>
        <v>3010673.39</v>
      </c>
      <c r="R20" s="794">
        <f ca="1">R23+R26</f>
        <v>3014873</v>
      </c>
      <c r="S20" s="794">
        <f ca="1">S23+S26</f>
        <v>1629189.25</v>
      </c>
      <c r="T20" s="794">
        <f ca="1">IF(Q20&gt;0,S20*100/Q20,0)</f>
        <v>54.113782498340015</v>
      </c>
      <c r="U20" s="794">
        <f ca="1">IF(R20&gt;0,S20*100/R20,0)</f>
        <v>54.038403939403089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3177690</v>
      </c>
      <c r="M21" s="224">
        <f ca="1">M22+M23</f>
        <v>3669497.79</v>
      </c>
      <c r="N21" s="224">
        <f ca="1">N22+N23</f>
        <v>3192694.9999999995</v>
      </c>
      <c r="O21" s="224">
        <f ca="1">IF(L21&gt;0,N21*100/L21,0)</f>
        <v>100.47219835792666</v>
      </c>
      <c r="P21" s="224">
        <f ca="1">IF(M21&gt;0,N21*100/M21,0)</f>
        <v>87.006320284498642</v>
      </c>
      <c r="Q21" s="224">
        <f ca="1">Q22+Q23</f>
        <v>3010673.39</v>
      </c>
      <c r="R21" s="224">
        <f ca="1">R22+R23</f>
        <v>3014873</v>
      </c>
      <c r="S21" s="224">
        <f ca="1">S22+S23</f>
        <v>1629189.25</v>
      </c>
      <c r="T21" s="224">
        <f ca="1">IF(Q21&gt;0,S21*100/Q21,0)</f>
        <v>54.113782498340015</v>
      </c>
      <c r="U21" s="224">
        <f ca="1">IF(R21&gt;0,S21*100/R21,0)</f>
        <v>54.038403939403089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3177690</v>
      </c>
      <c r="M23" s="224">
        <f ca="1">M49+M64+M77+M99+M122+M144+M162+M191+M178+M271+M287+M308+M325+M338+M361+M380+M418+M498+M518+M539+M560+M581+M604+M621+M647+M695+M719+M733+M765</f>
        <v>3669497.79</v>
      </c>
      <c r="N23" s="224">
        <f ca="1">N49+N64+N77+N99+N122+N144+N162+N191+N178+N271+N287+N308+N325+N338+N361+N380+N418+N498+N518+N539+N560+N581+N604+N621+N647+N695+N719+N733+N765</f>
        <v>3192694.9999999995</v>
      </c>
      <c r="O23" s="224">
        <f ca="1">IF(L23&gt;0,N23*100/L23,0)</f>
        <v>100.47219835792666</v>
      </c>
      <c r="P23" s="224">
        <f ca="1">IF(M23&gt;0,N23*100/M23,0)</f>
        <v>87.006320284498642</v>
      </c>
      <c r="Q23" s="224">
        <f ca="1">Q77+Q99+Q122+Q144+Q162+Q178+Q191+Q271+Q287+Q308+Q338+Q380+Q397+Q418+Q498+Q604+Q621+Q647+Q695+Q719+Q733+Q765</f>
        <v>3010673.39</v>
      </c>
      <c r="R23" s="224">
        <f ca="1">R77+R99+R122+R144+R162+R178+R191+R271+R287+R308+R338+R380+R397+R418+R498+R604+R621+R647+R695+R719+R733+R765</f>
        <v>3014873</v>
      </c>
      <c r="S23" s="224">
        <f ca="1">S77+S99+S122+S144+S162+S178+S191+S271+S287+S308+S338+S380+S397+S418+S498+S604+S621+S647+S695+S719+S733+S765</f>
        <v>1629189.25</v>
      </c>
      <c r="T23" s="224">
        <f ca="1">IF(Q23&gt;0,S23*100/Q23,0)</f>
        <v>54.113782498340015</v>
      </c>
      <c r="U23" s="224">
        <f ca="1">IF(R23&gt;0,S23*100/R23,0)</f>
        <v>54.038403939403089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4220000</v>
      </c>
      <c r="M24" s="224">
        <f ca="1">M25+M26</f>
        <v>5199965.2300000004</v>
      </c>
      <c r="N24" s="224">
        <f ca="1">N25+N26</f>
        <v>4099965.23</v>
      </c>
      <c r="O24" s="224">
        <f ca="1">IF(L24&gt;0,N24*100/L24,0)</f>
        <v>97.15557417061612</v>
      </c>
      <c r="P24" s="224">
        <f ca="1">IF(M24&gt;0,N24*100/M24,0)</f>
        <v>78.846012399202138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4220000</v>
      </c>
      <c r="M26" s="224">
        <f ca="1">M52+M67+M80+M102+M125+M147+M165+M194+M181+M274+M290+M311+M328+M341+M364+M383+M421+M501+M521+M542+M563+M584+M607+M624+M650+M698+M722+M736+M768</f>
        <v>5199965.2300000004</v>
      </c>
      <c r="N26" s="224">
        <f ca="1">N52+N67+N80+N102+N125+N147+N165+N194+N181+N274+N290+N311+N328+N341+N364+N383+N421+N501+N521+N542+N563+N584+N607+N624+N650+N698+N722+N736+N768</f>
        <v>4099965.23</v>
      </c>
      <c r="O26" s="224">
        <f ca="1">IF(L26&gt;0,N26*100/L26,0)</f>
        <v>97.15557417061612</v>
      </c>
      <c r="P26" s="224">
        <f ca="1">IF(M26&gt;0,N26*100/M26,0)</f>
        <v>78.846012399202138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7098080</v>
      </c>
      <c r="M40" s="790">
        <f ca="1">M44+M59+M72+M94+M125+M139+M157+M173+M186+M266+M282+M303+M320+M333+M356</f>
        <v>8489853.0199999996</v>
      </c>
      <c r="N40" s="790">
        <f ca="1">N44+N59+N72+N94+N125+N139+N157+N173+N186+N266+N282+N303+N320+N333+N356</f>
        <v>7015399.6699999999</v>
      </c>
      <c r="O40" s="790">
        <f ca="1">IF(L40&gt;0,N40*100/L40,0)</f>
        <v>98.835173314473778</v>
      </c>
      <c r="P40" s="790">
        <f ca="1">IF(M40&gt;0,N40*100/M40,0)</f>
        <v>82.632757639896113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461800</v>
      </c>
      <c r="M44" s="784">
        <f ca="1">M45+M46</f>
        <v>539003.79</v>
      </c>
      <c r="N44" s="784">
        <f ca="1">N45+N46</f>
        <v>474067.79</v>
      </c>
      <c r="O44" s="784">
        <f ca="1">IF(L44&gt;0,N44*100/L44,0)</f>
        <v>102.65651580770897</v>
      </c>
      <c r="P44" s="784">
        <f ca="1">IF(M44&gt;0,N44*100/M44,0)</f>
        <v>87.952589350067456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461800</v>
      </c>
      <c r="M46" s="778">
        <f ca="1">M49+M52</f>
        <v>539003.79</v>
      </c>
      <c r="N46" s="778">
        <f ca="1">N49+N52</f>
        <v>474067.79</v>
      </c>
      <c r="O46" s="778">
        <f ca="1">IF(L46&gt;0,N46*100/L46,0)</f>
        <v>102.65651580770897</v>
      </c>
      <c r="P46" s="778">
        <f ca="1">IF(M46&gt;0,N46*100/M46,0)</f>
        <v>87.952589350067456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461800</v>
      </c>
      <c r="M47" s="224">
        <f ca="1">M48+M49</f>
        <v>539003.79</v>
      </c>
      <c r="N47" s="224">
        <f ca="1">N48+N49</f>
        <v>474067.79</v>
      </c>
      <c r="O47" s="224">
        <f ca="1">IF(L47&gt;0,N47*100/L47,0)</f>
        <v>102.65651580770897</v>
      </c>
      <c r="P47" s="224">
        <f ca="1">IF(M47&gt;0,N47*100/M47,0)</f>
        <v>87.952589350067456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IFERROR(__xludf.DUMMYFUNCTION("IMPORTRANGE(""https://docs.google.com/spreadsheets/d/1-uDff_7J0KD5mKrp0Vvzr7lt3OU09vwQwhkpOPPYv2Y/edit?usp=sharing"",""งบพรบ!P22"")"),461800)</f>
        <v>461800</v>
      </c>
      <c r="M49" s="224">
        <f ca="1">IFERROR(__xludf.DUMMYFUNCTION("IMPORTRANGE(""https://docs.google.com/spreadsheets/d/1-uDff_7J0KD5mKrp0Vvzr7lt3OU09vwQwhkpOPPYv2Y/edit?usp=sharing"",""งบพรบ!V22"")"),539003.79)</f>
        <v>539003.79</v>
      </c>
      <c r="N49" s="224">
        <f ca="1">IFERROR(__xludf.DUMMYFUNCTION("IMPORTRANGE(""https://docs.google.com/spreadsheets/d/1-uDff_7J0KD5mKrp0Vvzr7lt3OU09vwQwhkpOPPYv2Y/edit?usp=sharing"",""งบพรบ!Y22"")"),474067.79)</f>
        <v>474067.79</v>
      </c>
      <c r="O49" s="224">
        <f ca="1">IF(L49&gt;0,N49*100/L49,0)</f>
        <v>102.65651580770897</v>
      </c>
      <c r="P49" s="224">
        <f ca="1">IF(M49&gt;0,N49*100/M49,0)</f>
        <v>87.952589350067456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IFERROR(__xludf.DUMMYFUNCTION("IMPORTRANGE(""https://docs.google.com/spreadsheets/d/1-uDff_7J0KD5mKrp0Vvzr7lt3OU09vwQwhkpOPPYv2Y/edit?usp=sharing"",""งบพรบ!S22"")"),0)</f>
        <v>0</v>
      </c>
      <c r="M52" s="224">
        <f ca="1">IFERROR(__xludf.DUMMYFUNCTION("IMPORTRANGE(""https://docs.google.com/spreadsheets/d/1-uDff_7J0KD5mKrp0Vvzr7lt3OU09vwQwhkpOPPYv2Y/edit?usp=sharing"",""งบพรบ!W22"")"),0)</f>
        <v>0</v>
      </c>
      <c r="N52" s="224">
        <f ca="1">IFERROR(__xludf.DUMMYFUNCTION("IMPORTRANGE(""https://docs.google.com/spreadsheets/d/1-uDff_7J0KD5mKrp0Vvzr7lt3OU09vwQwhkpOPPYv2Y/edit?usp=sharing"",""งบพรบ!Z22"")"),0)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5205500</v>
      </c>
      <c r="M59" s="772">
        <f ca="1">M60+M61</f>
        <v>6367919.2300000004</v>
      </c>
      <c r="N59" s="772">
        <f ca="1">N60+N61</f>
        <v>5199929.88</v>
      </c>
      <c r="O59" s="772">
        <f ca="1">IF(L59&gt;0,N59*100/L59,0)</f>
        <v>99.892995485544134</v>
      </c>
      <c r="P59" s="772">
        <f ca="1">IF(M59&gt;0,N59*100/M59,0)</f>
        <v>81.658226057619132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5205500</v>
      </c>
      <c r="M61" s="766">
        <f ca="1">M64+M67</f>
        <v>6367919.2300000004</v>
      </c>
      <c r="N61" s="766">
        <f ca="1">N64+N67</f>
        <v>5199929.88</v>
      </c>
      <c r="O61" s="766">
        <f ca="1">IF(L61&gt;0,N61*100/L61,0)</f>
        <v>99.892995485544134</v>
      </c>
      <c r="P61" s="766">
        <f ca="1">IF(M61&gt;0,N61*100/M61,0)</f>
        <v>81.658226057619132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985500</v>
      </c>
      <c r="M62" s="224">
        <f ca="1">M63+M64</f>
        <v>1167954</v>
      </c>
      <c r="N62" s="224">
        <f ca="1">N63+N64</f>
        <v>1099964.6499999999</v>
      </c>
      <c r="O62" s="224">
        <f ca="1">IF(L62&gt;0,N62*100/L62,0)</f>
        <v>111.61488077118213</v>
      </c>
      <c r="P62" s="224">
        <f ca="1">IF(M62&gt;0,N62*100/M62,0)</f>
        <v>94.178764745871831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IFERROR(__xludf.DUMMYFUNCTION("IMPORTRANGE(""https://docs.google.com/spreadsheets/d/1-uDff_7J0KD5mKrp0Vvzr7lt3OU09vwQwhkpOPPYv2Y/edit?usp=sharing"",""งบพรบ!AC22"")"),985500)</f>
        <v>985500</v>
      </c>
      <c r="M64" s="224">
        <f ca="1">IFERROR(__xludf.DUMMYFUNCTION("IMPORTRANGE(""https://docs.google.com/spreadsheets/d/1-uDff_7J0KD5mKrp0Vvzr7lt3OU09vwQwhkpOPPYv2Y/edit?usp=sharing"",""งบพรบ!AH22"")"),1167954)</f>
        <v>1167954</v>
      </c>
      <c r="N64" s="224">
        <f ca="1">IFERROR(__xludf.DUMMYFUNCTION("IMPORTRANGE(""https://docs.google.com/spreadsheets/d/1-uDff_7J0KD5mKrp0Vvzr7lt3OU09vwQwhkpOPPYv2Y/edit?usp=sharing"",""งบพรบ!AJ22"")"),1099964.65)</f>
        <v>1099964.6499999999</v>
      </c>
      <c r="O64" s="224">
        <f ca="1">IF(L64&gt;0,N64*100/L64,0)</f>
        <v>111.61488077118213</v>
      </c>
      <c r="P64" s="224">
        <f ca="1">IF(M64&gt;0,N64*100/M64,0)</f>
        <v>94.178764745871831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4220000</v>
      </c>
      <c r="M65" s="224">
        <f ca="1">M66+M67</f>
        <v>5199965.2300000004</v>
      </c>
      <c r="N65" s="224">
        <f ca="1">N66+N67</f>
        <v>4099965.23</v>
      </c>
      <c r="O65" s="224">
        <f ca="1">IF(L65&gt;0,N65*100/L65,0)</f>
        <v>97.15557417061612</v>
      </c>
      <c r="P65" s="224">
        <f ca="1">IF(M65&gt;0,N65*100/M65,0)</f>
        <v>78.846012399202138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IFERROR(__xludf.DUMMYFUNCTION("IMPORTRANGE(""https://docs.google.com/spreadsheets/d/1-uDff_7J0KD5mKrp0Vvzr7lt3OU09vwQwhkpOPPYv2Y/edit?usp=sharing"",""งบพรบ!AF22"")"),4220000)</f>
        <v>4220000</v>
      </c>
      <c r="M67" s="508">
        <f ca="1">IFERROR(__xludf.DUMMYFUNCTION("IMPORTRANGE(""https://docs.google.com/spreadsheets/d/1-uDff_7J0KD5mKrp0Vvzr7lt3OU09vwQwhkpOPPYv2Y/edit?usp=sharing"",""งบพรบ!AI22"")"),5199965.23)</f>
        <v>5199965.2300000004</v>
      </c>
      <c r="N67" s="508">
        <f ca="1">IFERROR(__xludf.DUMMYFUNCTION("IMPORTRANGE(""https://docs.google.com/spreadsheets/d/1-uDff_7J0KD5mKrp0Vvzr7lt3OU09vwQwhkpOPPYv2Y/edit?usp=sharing"",""งบพรบ!AK22"")"),4099965.23)</f>
        <v>4099965.23</v>
      </c>
      <c r="O67" s="508">
        <f ca="1">IF(L67&gt;0,N67*100/L67,0)</f>
        <v>97.15557417061612</v>
      </c>
      <c r="P67" s="508">
        <f ca="1">IF(M67&gt;0,N67*100/M67,0)</f>
        <v>78.846012399202138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98</v>
      </c>
      <c r="J71" s="756">
        <f>J83</f>
        <v>98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254000</v>
      </c>
      <c r="M72" s="547">
        <f ca="1">M73+M74</f>
        <v>254000</v>
      </c>
      <c r="N72" s="547">
        <f ca="1">N73+N74</f>
        <v>226741.95</v>
      </c>
      <c r="O72" s="547">
        <f ca="1">IF(L72&gt;0,N72*100/L72,0)</f>
        <v>89.268484251968502</v>
      </c>
      <c r="P72" s="547">
        <f ca="1">IF(M72&gt;0,N72*100/M72,0)</f>
        <v>89.268484251968502</v>
      </c>
      <c r="Q72" s="547">
        <f ca="1">Q73+Q74</f>
        <v>996060</v>
      </c>
      <c r="R72" s="547">
        <f ca="1">R73+R74</f>
        <v>996060</v>
      </c>
      <c r="S72" s="547">
        <f ca="1">S73+S74</f>
        <v>689510</v>
      </c>
      <c r="T72" s="547">
        <f ca="1">IF(Q72&gt;0,S72*100/Q72,0)</f>
        <v>69.223741541674201</v>
      </c>
      <c r="U72" s="547">
        <f ca="1">IF(R72&gt;0,S72*100/R72,0)</f>
        <v>69.223741541674201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254000</v>
      </c>
      <c r="M74" s="224">
        <f ca="1">M77+M80</f>
        <v>254000</v>
      </c>
      <c r="N74" s="224">
        <f ca="1">N77+N80</f>
        <v>226741.95</v>
      </c>
      <c r="O74" s="224">
        <f ca="1">IF(L74&gt;0,N74*100/L74,0)</f>
        <v>89.268484251968502</v>
      </c>
      <c r="P74" s="224">
        <f ca="1">IF(M74&gt;0,N74*100/M74,0)</f>
        <v>89.268484251968502</v>
      </c>
      <c r="Q74" s="224">
        <f ca="1">Q77+Q80</f>
        <v>996060</v>
      </c>
      <c r="R74" s="224">
        <f ca="1">R77+R80</f>
        <v>996060</v>
      </c>
      <c r="S74" s="224">
        <f ca="1">S77+S80</f>
        <v>689510</v>
      </c>
      <c r="T74" s="224">
        <f ca="1">IF(Q74&gt;0,S74*100/Q74,0)</f>
        <v>69.223741541674201</v>
      </c>
      <c r="U74" s="224">
        <f ca="1">IF(R74&gt;0,S74*100/R74,0)</f>
        <v>69.223741541674201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254000</v>
      </c>
      <c r="M75" s="224">
        <f ca="1">M76+M77</f>
        <v>254000</v>
      </c>
      <c r="N75" s="224">
        <f ca="1">N76+N77</f>
        <v>226741.95</v>
      </c>
      <c r="O75" s="224">
        <f ca="1">IF(L75&gt;0,N75*100/L75,0)</f>
        <v>89.268484251968502</v>
      </c>
      <c r="P75" s="224">
        <f ca="1">IF(M75&gt;0,N75*100/M75,0)</f>
        <v>89.268484251968502</v>
      </c>
      <c r="Q75" s="224">
        <f ca="1">Q76+Q77</f>
        <v>996060</v>
      </c>
      <c r="R75" s="224">
        <f ca="1">R76+R77</f>
        <v>996060</v>
      </c>
      <c r="S75" s="224">
        <f ca="1">S76+S77</f>
        <v>689510</v>
      </c>
      <c r="T75" s="224">
        <f ca="1">IF(Q75&gt;0,S75*100/Q75,0)</f>
        <v>69.223741541674201</v>
      </c>
      <c r="U75" s="224">
        <f ca="1">IF(R75&gt;0,S75*100/R75,0)</f>
        <v>69.223741541674201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IFERROR(__xludf.DUMMYFUNCTION("IMPORTRANGE(""https://docs.google.com/spreadsheets/d/1-uDff_7J0KD5mKrp0Vvzr7lt3OU09vwQwhkpOPPYv2Y/edit?usp=sharing"",""งบพรบ!AM22"")"),254000)</f>
        <v>254000</v>
      </c>
      <c r="M77" s="224">
        <f ca="1">IFERROR(__xludf.DUMMYFUNCTION("IMPORTRANGE(""https://docs.google.com/spreadsheets/d/1-uDff_7J0KD5mKrp0Vvzr7lt3OU09vwQwhkpOPPYv2Y/edit?usp=sharing"",""งบพรบ!AR22"")"),254000)</f>
        <v>254000</v>
      </c>
      <c r="N77" s="224">
        <f ca="1">IFERROR(__xludf.DUMMYFUNCTION("IMPORTRANGE(""https://docs.google.com/spreadsheets/d/1-uDff_7J0KD5mKrp0Vvzr7lt3OU09vwQwhkpOPPYv2Y/edit?usp=sharing"",""งบพรบ!AT22"")"),226741.95)</f>
        <v>226741.95</v>
      </c>
      <c r="O77" s="224">
        <f ca="1">IF(L77&gt;0,N77*100/L77,0)</f>
        <v>89.268484251968502</v>
      </c>
      <c r="P77" s="224">
        <f ca="1">IF(M77&gt;0,N77*100/M77,0)</f>
        <v>89.268484251968502</v>
      </c>
      <c r="Q77" s="224">
        <f ca="1">IFERROR(__xludf.DUMMYFUNCTION("IMPORTRANGE(""https://docs.google.com/spreadsheets/d/1ItG2mGa2ceCfYo0BwxsXqNm01IGEUdYcSSLTEv9YCik/edit?usp=sharing"",""เบิกจ่ายกองทุน!BH22"")"),996060)</f>
        <v>996060</v>
      </c>
      <c r="R77" s="224">
        <f ca="1">IFERROR(__xludf.DUMMYFUNCTION("IMPORTRANGE(""https://docs.google.com/spreadsheets/d/1ItG2mGa2ceCfYo0BwxsXqNm01IGEUdYcSSLTEv9YCik/edit?usp=sharing"",""เบิกจ่ายกองทุน!BI22"")"),996060)</f>
        <v>996060</v>
      </c>
      <c r="S77" s="224">
        <f ca="1">IFERROR(__xludf.DUMMYFUNCTION("IMPORTRANGE(""https://docs.google.com/spreadsheets/d/1ItG2mGa2ceCfYo0BwxsXqNm01IGEUdYcSSLTEv9YCik/edit?usp=sharing"",""เบิกจ่ายกองทุน!BJ22"")"),689510)</f>
        <v>689510</v>
      </c>
      <c r="T77" s="224">
        <f ca="1">IF(Q77&gt;0,S77*100/Q77,0)</f>
        <v>69.223741541674201</v>
      </c>
      <c r="U77" s="224">
        <f ca="1">IF(R77&gt;0,S77*100/R77,0)</f>
        <v>69.223741541674201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IFERROR(__xludf.DUMMYFUNCTION("IMPORTRANGE(""https://docs.google.com/spreadsheets/d/1-uDff_7J0KD5mKrp0Vvzr7lt3OU09vwQwhkpOPPYv2Y/edit?usp=sharing"",""งบพรบ!AP22"")"),0)</f>
        <v>0</v>
      </c>
      <c r="M80" s="224">
        <f ca="1">IFERROR(__xludf.DUMMYFUNCTION("IMPORTRANGE(""https://docs.google.com/spreadsheets/d/1-uDff_7J0KD5mKrp0Vvzr7lt3OU09vwQwhkpOPPYv2Y/edit?usp=sharing"",""งบพรบ!AS22"")"),0)</f>
        <v>0</v>
      </c>
      <c r="N80" s="224">
        <f ca="1">IFERROR(__xludf.DUMMYFUNCTION("IMPORTRANGE(""https://docs.google.com/spreadsheets/d/1-uDff_7J0KD5mKrp0Vvzr7lt3OU09vwQwhkpOPPYv2Y/edit?usp=sharing"",""งบพรบ!AU22"")"),0)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IFERROR(__xludf.DUMMYFUNCTION("IMPORTRANGE(""https://docs.google.com/spreadsheets/d/1ItG2mGa2ceCfYo0BwxsXqNm01IGEUdYcSSLTEv9YCik/edit?usp=sharing"",""เบิกจ่ายกองทุน!BK22"")"),0)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IFERROR(__xludf.DUMMYFUNCTION("IMPORTRANGE(""https://docs.google.com/spreadsheets/d/1ItG2mGa2ceCfYo0BwxsXqNm01IGEUdYcSSLTEv9YCik/edit?usp=sharing"",""เบิกจ่ายกองทุน!BL22"")"),0)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IFERROR(__xludf.DUMMYFUNCTION("IMPORTRANGE(""https://docs.google.com/spreadsheets/d/1ItG2mGa2ceCfYo0BwxsXqNm01IGEUdYcSSLTEv9YCik/edit?usp=sharing"",""เบิกจ่ายกองทุน!BM22"")"),0)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98</v>
      </c>
      <c r="J83" s="338">
        <f>J85+J87+J89</f>
        <v>98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IFERROR(__xludf.DUMMYFUNCTION("IMPORTRANGE(""https://docs.google.com/spreadsheets/d/1eHaY18a8A9IcSdp1K8H6x8fbOy06t2VsZHhMHf-1x7Y/edit?usp=sharing"",""แผน!H22"")"),0)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IFERROR(__xludf.DUMMYFUNCTION("IMPORTRANGE(""https://docs.google.com/spreadsheets/d/1eHaY18a8A9IcSdp1K8H6x8fbOy06t2VsZHhMHf-1x7Y/edit?usp=sharing"",""แผน!I22"")"),0)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IFERROR(__xludf.DUMMYFUNCTION("IMPORTRANGE(""https://docs.google.com/spreadsheets/d/1eHaY18a8A9IcSdp1K8H6x8fbOy06t2VsZHhMHf-1x7Y/edit?usp=sharing"",""แผน!F22"")"),2)</f>
        <v>2</v>
      </c>
      <c r="J86" s="380">
        <v>2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IFERROR(__xludf.DUMMYFUNCTION("IMPORTRANGE(""https://docs.google.com/spreadsheets/d/1eHaY18a8A9IcSdp1K8H6x8fbOy06t2VsZHhMHf-1x7Y/edit?usp=sharing"",""แผน!G22"")"),98)</f>
        <v>98</v>
      </c>
      <c r="J87" s="380">
        <v>98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IFERROR(__xludf.DUMMYFUNCTION("IMPORTRANGE(""https://docs.google.com/spreadsheets/d/1eHaY18a8A9IcSdp1K8H6x8fbOy06t2VsZHhMHf-1x7Y/edit?usp=sharing"",""แผน!D22"")"),0)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IFERROR(__xludf.DUMMYFUNCTION("IMPORTRANGE(""https://docs.google.com/spreadsheets/d/1eHaY18a8A9IcSdp1K8H6x8fbOy06t2VsZHhMHf-1x7Y/edit?usp=sharing"",""แผน!E22"")"),0)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IFERROR(__xludf.DUMMYFUNCTION("IMPORTRANGE(""https://docs.google.com/spreadsheets/d/1eHaY18a8A9IcSdp1K8H6x8fbOy06t2VsZHhMHf-1x7Y/edit?usp=sharing"",""แผน!J22"")"),2)</f>
        <v>2</v>
      </c>
      <c r="J90" s="380">
        <v>2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50183.64</v>
      </c>
      <c r="O94" s="547">
        <f ca="1">IF(L94&gt;0,N94*100/L94,0)</f>
        <v>98.399294117647059</v>
      </c>
      <c r="P94" s="547">
        <f ca="1">IF(M94&gt;0,N94*100/M94,0)</f>
        <v>98.399294117647059</v>
      </c>
      <c r="Q94" s="547">
        <f ca="1">Q95+Q96</f>
        <v>129840</v>
      </c>
      <c r="R94" s="547">
        <f ca="1">R95+R96</f>
        <v>129840</v>
      </c>
      <c r="S94" s="547">
        <f ca="1">S95+S96</f>
        <v>43660</v>
      </c>
      <c r="T94" s="547">
        <f ca="1">IF(Q94&gt;0,S94*100/Q94,0)</f>
        <v>33.626001232285887</v>
      </c>
      <c r="U94" s="547">
        <f ca="1">IF(R94&gt;0,S94*100/R94,0)</f>
        <v>33.626001232285887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50183.64</v>
      </c>
      <c r="O96" s="224">
        <f ca="1">IF(L96&gt;0,N96*100/L96,0)</f>
        <v>98.399294117647059</v>
      </c>
      <c r="P96" s="224">
        <f ca="1">IF(M96&gt;0,N96*100/M96,0)</f>
        <v>98.399294117647059</v>
      </c>
      <c r="Q96" s="224">
        <f ca="1">Q99+Q102</f>
        <v>129840</v>
      </c>
      <c r="R96" s="224">
        <f ca="1">R99+R102</f>
        <v>129840</v>
      </c>
      <c r="S96" s="224">
        <f ca="1">S99+S102</f>
        <v>43660</v>
      </c>
      <c r="T96" s="224">
        <f ca="1">IF(Q96&gt;0,S96*100/Q96,0)</f>
        <v>33.626001232285887</v>
      </c>
      <c r="U96" s="224">
        <f ca="1">IF(R96&gt;0,S96*100/R96,0)</f>
        <v>33.626001232285887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50183.64</v>
      </c>
      <c r="O97" s="224">
        <f ca="1">IF(L97&gt;0,N97*100/L97,0)</f>
        <v>98.399294117647059</v>
      </c>
      <c r="P97" s="224">
        <f ca="1">IF(M97&gt;0,N97*100/M97,0)</f>
        <v>98.399294117647059</v>
      </c>
      <c r="Q97" s="224">
        <f ca="1">Q98+Q99</f>
        <v>129840</v>
      </c>
      <c r="R97" s="224">
        <f ca="1">R98+R99</f>
        <v>129840</v>
      </c>
      <c r="S97" s="224">
        <f ca="1">S98+S99</f>
        <v>43660</v>
      </c>
      <c r="T97" s="224">
        <f ca="1">IF(Q97&gt;0,S97*100/Q97,0)</f>
        <v>33.626001232285887</v>
      </c>
      <c r="U97" s="224">
        <f ca="1">IF(R97&gt;0,S97*100/R97,0)</f>
        <v>33.626001232285887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IFERROR(__xludf.DUMMYFUNCTION("IMPORTRANGE(""https://docs.google.com/spreadsheets/d/1-uDff_7J0KD5mKrp0Vvzr7lt3OU09vwQwhkpOPPYv2Y/edit?usp=sharing"",""งบพรบ!AW22"")"),51000)</f>
        <v>51000</v>
      </c>
      <c r="M99" s="224">
        <f ca="1">IFERROR(__xludf.DUMMYFUNCTION("IMPORTRANGE(""https://docs.google.com/spreadsheets/d/1-uDff_7J0KD5mKrp0Vvzr7lt3OU09vwQwhkpOPPYv2Y/edit?usp=sharing"",""งบพรบ!BB22"")"),51000)</f>
        <v>51000</v>
      </c>
      <c r="N99" s="224">
        <f ca="1">IFERROR(__xludf.DUMMYFUNCTION("IMPORTRANGE(""https://docs.google.com/spreadsheets/d/1-uDff_7J0KD5mKrp0Vvzr7lt3OU09vwQwhkpOPPYv2Y/edit?usp=sharing"",""งบพรบ!BD22"")"),50183.64)</f>
        <v>50183.64</v>
      </c>
      <c r="O99" s="224">
        <f ca="1">IF(L99&gt;0,N99*100/L99,0)</f>
        <v>98.399294117647059</v>
      </c>
      <c r="P99" s="224">
        <f ca="1">IF(M99&gt;0,N99*100/M99,0)</f>
        <v>98.399294117647059</v>
      </c>
      <c r="Q99" s="224">
        <f ca="1">IFERROR(__xludf.DUMMYFUNCTION("IMPORTRANGE(""https://docs.google.com/spreadsheets/d/1ItG2mGa2ceCfYo0BwxsXqNm01IGEUdYcSSLTEv9YCik/edit?usp=sharing"",""เบิกจ่ายกองทุน!AJ22"")"),129840)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IFERROR(__xludf.DUMMYFUNCTION("IMPORTRANGE(""https://docs.google.com/spreadsheets/d/1ItG2mGa2ceCfYo0BwxsXqNm01IGEUdYcSSLTEv9YCik/edit?usp=sharing"",""เบิกจ่ายกองทุน!AK22"")"),129840)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IFERROR(__xludf.DUMMYFUNCTION("IMPORTRANGE(""https://docs.google.com/spreadsheets/d/1ItG2mGa2ceCfYo0BwxsXqNm01IGEUdYcSSLTEv9YCik/edit?usp=sharing"",""เบิกจ่ายกองทุน!AL22"")"),43660)</f>
        <v>43660</v>
      </c>
      <c r="T99" s="224">
        <f ca="1">IF(Q99&gt;0,S99*100/Q99,0)</f>
        <v>33.626001232285887</v>
      </c>
      <c r="U99" s="224">
        <f ca="1">IF(R99&gt;0,S99*100/R99,0)</f>
        <v>33.626001232285887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IFERROR(__xludf.DUMMYFUNCTION("IMPORTRANGE(""https://docs.google.com/spreadsheets/d/1-uDff_7J0KD5mKrp0Vvzr7lt3OU09vwQwhkpOPPYv2Y/edit?usp=sharing"",""งบพรบ!AZ22"")"),0)</f>
        <v>0</v>
      </c>
      <c r="M102" s="224">
        <f ca="1">IFERROR(__xludf.DUMMYFUNCTION("IMPORTRANGE(""https://docs.google.com/spreadsheets/d/1-uDff_7J0KD5mKrp0Vvzr7lt3OU09vwQwhkpOPPYv2Y/edit?usp=sharing"",""งบพรบ!BC22"")"),0)</f>
        <v>0</v>
      </c>
      <c r="N102" s="224">
        <f ca="1">IFERROR(__xludf.DUMMYFUNCTION("IMPORTRANGE(""https://docs.google.com/spreadsheets/d/1-uDff_7J0KD5mKrp0Vvzr7lt3OU09vwQwhkpOPPYv2Y/edit?usp=sharing"",""งบพรบ!BE22"")"),0)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IFERROR(__xludf.DUMMYFUNCTION("IMPORTRANGE(""https://docs.google.com/spreadsheets/d/1eHaY18a8A9IcSdp1K8H6x8fbOy06t2VsZHhMHf-1x7Y/edit?usp=sharing"",""แผน!N22"")"),60)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IFERROR(__xludf.DUMMYFUNCTION("IMPORTRANGE(""https://docs.google.com/spreadsheets/d/1eHaY18a8A9IcSdp1K8H6x8fbOy06t2VsZHhMHf-1x7Y/edit?usp=sharing"",""แผน!O22"")"),20)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IFERROR(__xludf.DUMMYFUNCTION("IMPORTRANGE(""https://docs.google.com/spreadsheets/d/1eHaY18a8A9IcSdp1K8H6x8fbOy06t2VsZHhMHf-1x7Y/edit?usp=sharing"",""แผน!N22"")"),60)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IFERROR(__xludf.DUMMYFUNCTION("IMPORTRANGE(""https://docs.google.com/spreadsheets/d/1eHaY18a8A9IcSdp1K8H6x8fbOy06t2VsZHhMHf-1x7Y/edit?usp=sharing"",""แผน!O22"")"),20)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163181.29999999999</v>
      </c>
      <c r="T117" s="547">
        <f ca="1">IF(Q117&gt;0,S117*100/Q117,0)</f>
        <v>77.942921283912867</v>
      </c>
      <c r="U117" s="547">
        <f ca="1">IF(R117&gt;0,S117*100/R117,0)</f>
        <v>77.942921283912867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163181.29999999999</v>
      </c>
      <c r="T119" s="224">
        <f ca="1">IF(Q119&gt;0,S119*100/Q119,0)</f>
        <v>77.942921283912867</v>
      </c>
      <c r="U119" s="224">
        <f ca="1">IF(R119&gt;0,S119*100/R119,0)</f>
        <v>77.942921283912867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163181.29999999999</v>
      </c>
      <c r="T120" s="224">
        <f ca="1">IF(Q120&gt;0,S120*100/Q120,0)</f>
        <v>77.942921283912867</v>
      </c>
      <c r="U120" s="224">
        <f ca="1">IF(R120&gt;0,S120*100/R120,0)</f>
        <v>77.942921283912867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IFERROR(__xludf.DUMMYFUNCTION("IMPORTRANGE(""https://docs.google.com/spreadsheets/d/1-uDff_7J0KD5mKrp0Vvzr7lt3OU09vwQwhkpOPPYv2Y/edit?usp=sharing"",""งบพรบ!BG22"")"),0)</f>
        <v>0</v>
      </c>
      <c r="M122" s="224">
        <f ca="1">IFERROR(__xludf.DUMMYFUNCTION("IMPORTRANGE(""https://docs.google.com/spreadsheets/d/1-uDff_7J0KD5mKrp0Vvzr7lt3OU09vwQwhkpOPPYv2Y/edit?usp=sharing"",""งบพรบ!BL22"")"),0)</f>
        <v>0</v>
      </c>
      <c r="N122" s="224">
        <f ca="1">IFERROR(__xludf.DUMMYFUNCTION("IMPORTRANGE(""https://docs.google.com/spreadsheets/d/1-uDff_7J0KD5mKrp0Vvzr7lt3OU09vwQwhkpOPPYv2Y/edit?usp=sharing"",""งบพรบ!BN22"")"),0)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IFERROR(__xludf.DUMMYFUNCTION("IMPORTRANGE(""https://docs.google.com/spreadsheets/d/1ItG2mGa2ceCfYo0BwxsXqNm01IGEUdYcSSLTEv9YCik/edit?usp=sharing"",""เบิกจ่ายกองทุน!U22"")"),209360)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IFERROR(__xludf.DUMMYFUNCTION("IMPORTRANGE(""https://docs.google.com/spreadsheets/d/1ItG2mGa2ceCfYo0BwxsXqNm01IGEUdYcSSLTEv9YCik/edit?usp=sharing"",""เบิกจ่ายกองทุน!V22"")"),209360)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IFERROR(__xludf.DUMMYFUNCTION("IMPORTRANGE(""https://docs.google.com/spreadsheets/d/1ItG2mGa2ceCfYo0BwxsXqNm01IGEUdYcSSLTEv9YCik/edit?usp=sharing"",""เบิกจ่ายกองทุน!W22"")"),163181.3)</f>
        <v>163181.29999999999</v>
      </c>
      <c r="T122" s="224">
        <f ca="1">IF(Q122&gt;0,S122*100/Q122,0)</f>
        <v>77.942921283912867</v>
      </c>
      <c r="U122" s="224">
        <f ca="1">IF(R122&gt;0,S122*100/R122,0)</f>
        <v>77.942921283912867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IFERROR(__xludf.DUMMYFUNCTION("IMPORTRANGE(""https://docs.google.com/spreadsheets/d/1-uDff_7J0KD5mKrp0Vvzr7lt3OU09vwQwhkpOPPYv2Y/edit?usp=sharing"",""งบพรบ!BJ22"")"),0)</f>
        <v>0</v>
      </c>
      <c r="M125" s="224">
        <f ca="1">IFERROR(__xludf.DUMMYFUNCTION("IMPORTRANGE(""https://docs.google.com/spreadsheets/d/1-uDff_7J0KD5mKrp0Vvzr7lt3OU09vwQwhkpOPPYv2Y/edit?usp=sharing"",""งบพรบ!BM22"")"),0)</f>
        <v>0</v>
      </c>
      <c r="N125" s="224">
        <f ca="1">IFERROR(__xludf.DUMMYFUNCTION("IMPORTRANGE(""https://docs.google.com/spreadsheets/d/1-uDff_7J0KD5mKrp0Vvzr7lt3OU09vwQwhkpOPPYv2Y/edit?usp=sharing"",""งบพรบ!BO22"")"),0)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IFERROR(__xludf.DUMMYFUNCTION("IMPORTRANGE(""https://docs.google.com/spreadsheets/d/1ItG2mGa2ceCfYo0BwxsXqNm01IGEUdYcSSLTEv9YCik/edit?usp=sharing"",""เบิกจ่ายกองทุน!X22"")"),0)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IFERROR(__xludf.DUMMYFUNCTION("IMPORTRANGE(""https://docs.google.com/spreadsheets/d/1ItG2mGa2ceCfYo0BwxsXqNm01IGEUdYcSSLTEv9YCik/edit?usp=sharing"",""เบิกจ่ายกองทุน!Y22"")"),0)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IFERROR(__xludf.DUMMYFUNCTION("IMPORTRANGE(""https://docs.google.com/spreadsheets/d/1ItG2mGa2ceCfYo0BwxsXqNm01IGEUdYcSSLTEv9YCik/edit?usp=sharing"",""เบิกจ่ายกองทุน!Z22"")"),0)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IFERROR(__xludf.DUMMYFUNCTION("IMPORTRANGE(""https://docs.google.com/spreadsheets/d/1eHaY18a8A9IcSdp1K8H6x8fbOy06t2VsZHhMHf-1x7Y/edit?usp=sharing"",""แผน!FF22"")"),20)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IFERROR(__xludf.DUMMYFUNCTION("IMPORTRANGE(""https://docs.google.com/spreadsheets/d/1eHaY18a8A9IcSdp1K8H6x8fbOy06t2VsZHhMHf-1x7Y/edit?usp=sharing"",""แผน!FG22"")"),1)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IFERROR(__xludf.DUMMYFUNCTION("IMPORTRANGE(""https://docs.google.com/spreadsheets/d/1eHaY18a8A9IcSdp1K8H6x8fbOy06t2VsZHhMHf-1x7Y/edit?usp=sharing"",""แผน!FH22"")"),20)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IFERROR(__xludf.DUMMYFUNCTION("IMPORTRANGE(""https://docs.google.com/spreadsheets/d/1eHaY18a8A9IcSdp1K8H6x8fbOy06t2VsZHhMHf-1x7Y/edit?usp=sharing"",""แผน!FI22"")"),1)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IFERROR(__xludf.DUMMYFUNCTION("IMPORTRANGE(""https://docs.google.com/spreadsheets/d/1-uDff_7J0KD5mKrp0Vvzr7lt3OU09vwQwhkpOPPYv2Y/edit?usp=sharing"",""งบพรบ!BQ22"")"),0)</f>
        <v>0</v>
      </c>
      <c r="M144" s="224">
        <f ca="1">IFERROR(__xludf.DUMMYFUNCTION("IMPORTRANGE(""https://docs.google.com/spreadsheets/d/1-uDff_7J0KD5mKrp0Vvzr7lt3OU09vwQwhkpOPPYv2Y/edit?usp=sharing"",""งบพรบ!BV22"")"),0)</f>
        <v>0</v>
      </c>
      <c r="N144" s="224">
        <f ca="1">IFERROR(__xludf.DUMMYFUNCTION("IMPORTRANGE(""https://docs.google.com/spreadsheets/d/1-uDff_7J0KD5mKrp0Vvzr7lt3OU09vwQwhkpOPPYv2Y/edit?usp=sharing"",""งบพรบ!BX22"")"),0)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IFERROR(__xludf.DUMMYFUNCTION("IMPORTRANGE(""https://docs.google.com/spreadsheets/d/1ItG2mGa2ceCfYo0BwxsXqNm01IGEUdYcSSLTEv9YCik/edit?usp=sharing"",""เบิกจ่ายกองทุน!CF22"")"),0)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IFERROR(__xludf.DUMMYFUNCTION("IMPORTRANGE(""https://docs.google.com/spreadsheets/d/1ItG2mGa2ceCfYo0BwxsXqNm01IGEUdYcSSLTEv9YCik/edit?usp=sharing"",""เบิกจ่ายกองทุน!CG22"")"),0)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IFERROR(__xludf.DUMMYFUNCTION("IMPORTRANGE(""https://docs.google.com/spreadsheets/d/1ItG2mGa2ceCfYo0BwxsXqNm01IGEUdYcSSLTEv9YCik/edit?usp=sharing"",""เบิกจ่ายกองทุน!CH22"")"),0)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IFERROR(__xludf.DUMMYFUNCTION("IMPORTRANGE(""https://docs.google.com/spreadsheets/d/1-uDff_7J0KD5mKrp0Vvzr7lt3OU09vwQwhkpOPPYv2Y/edit?usp=sharing"",""งบพรบ!BT22"")"),0)</f>
        <v>0</v>
      </c>
      <c r="M147" s="224">
        <f ca="1">IFERROR(__xludf.DUMMYFUNCTION("IMPORTRANGE(""https://docs.google.com/spreadsheets/d/1-uDff_7J0KD5mKrp0Vvzr7lt3OU09vwQwhkpOPPYv2Y/edit?usp=sharing"",""งบพรบ!BW22"")"),0)</f>
        <v>0</v>
      </c>
      <c r="N147" s="224">
        <f ca="1">IFERROR(__xludf.DUMMYFUNCTION("IMPORTRANGE(""https://docs.google.com/spreadsheets/d/1-uDff_7J0KD5mKrp0Vvzr7lt3OU09vwQwhkpOPPYv2Y/edit?usp=sharing"",""งบพรบ!BY22"")"),0)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IFERROR(__xludf.DUMMYFUNCTION("IMPORTRANGE(""https://docs.google.com/spreadsheets/d/1ItG2mGa2ceCfYo0BwxsXqNm01IGEUdYcSSLTEv9YCik/edit?usp=sharing"",""เบิกจ่ายกองทุน!CI22"")"),0)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IFERROR(__xludf.DUMMYFUNCTION("IMPORTRANGE(""https://docs.google.com/spreadsheets/d/1ItG2mGa2ceCfYo0BwxsXqNm01IGEUdYcSSLTEv9YCik/edit?usp=sharing"",""เบิกจ่ายกองทุน!CJ22"")"),0)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IFERROR(__xludf.DUMMYFUNCTION("IMPORTRANGE(""https://docs.google.com/spreadsheets/d/1ItG2mGa2ceCfYo0BwxsXqNm01IGEUdYcSSLTEv9YCik/edit?usp=sharing"",""เบิกจ่ายกองทุน!CK22"")"),0)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IFERROR(__xludf.DUMMYFUNCTION("IMPORTRANGE(""https://docs.google.com/spreadsheets/d/1eHaY18a8A9IcSdp1K8H6x8fbOy06t2VsZHhMHf-1x7Y/edit?usp=sharing"",""แผน!U22"")"),0)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IFERROR(__xludf.DUMMYFUNCTION("IMPORTRANGE(""https://docs.google.com/spreadsheets/d/1eHaY18a8A9IcSdp1K8H6x8fbOy06t2VsZHhMHf-1x7Y/edit?usp=sharing"",""แผน!V22"")"),0)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IFERROR(__xludf.DUMMYFUNCTION("IMPORTRANGE(""https://docs.google.com/spreadsheets/d/1eHaY18a8A9IcSdp1K8H6x8fbOy06t2VsZHhMHf-1x7Y/edit?usp=sharing"",""แผน!W22"")"),0)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IFERROR(__xludf.DUMMYFUNCTION("IMPORTRANGE(""https://docs.google.com/spreadsheets/d/1eHaY18a8A9IcSdp1K8H6x8fbOy06t2VsZHhMHf-1x7Y/edit?usp=sharing"",""แผน!X22"")"),0)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IFERROR(__xludf.DUMMYFUNCTION("IMPORTRANGE(""https://docs.google.com/spreadsheets/d/1eHaY18a8A9IcSdp1K8H6x8fbOy06t2VsZHhMHf-1x7Y/edit?usp=sharing"",""แผน!Y22"")"),0)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1040</v>
      </c>
      <c r="N157" s="547">
        <f ca="1">N158+N159</f>
        <v>680</v>
      </c>
      <c r="O157" s="547">
        <f ca="1">IF(L157&gt;0,N157*100/L157,0)</f>
        <v>0</v>
      </c>
      <c r="P157" s="547">
        <f ca="1">IF(M157&gt;0,N157*100/M157,0)</f>
        <v>65.384615384615387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1040</v>
      </c>
      <c r="N159" s="224">
        <f ca="1">N162+N165</f>
        <v>680</v>
      </c>
      <c r="O159" s="224">
        <f ca="1">IF(L159&gt;0,N159*100/L159,0)</f>
        <v>0</v>
      </c>
      <c r="P159" s="224">
        <f ca="1">IF(M159&gt;0,N159*100/M159,0)</f>
        <v>65.384615384615387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1040</v>
      </c>
      <c r="N160" s="224">
        <f ca="1">N161+N162</f>
        <v>680</v>
      </c>
      <c r="O160" s="224">
        <f ca="1">IF(L160&gt;0,N160*100/L160,0)</f>
        <v>0</v>
      </c>
      <c r="P160" s="224">
        <f ca="1">IF(M160&gt;0,N160*100/M160,0)</f>
        <v>65.384615384615387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IFERROR(__xludf.DUMMYFUNCTION("IMPORTRANGE(""https://docs.google.com/spreadsheets/d/1-uDff_7J0KD5mKrp0Vvzr7lt3OU09vwQwhkpOPPYv2Y/edit?usp=sharing"",""งบพรบ!CA22"")"),0)</f>
        <v>0</v>
      </c>
      <c r="M162" s="224">
        <f ca="1">IFERROR(__xludf.DUMMYFUNCTION("IMPORTRANGE(""https://docs.google.com/spreadsheets/d/1-uDff_7J0KD5mKrp0Vvzr7lt3OU09vwQwhkpOPPYv2Y/edit?usp=sharing"",""งบพรบ!CF22"")"),1040)</f>
        <v>1040</v>
      </c>
      <c r="N162" s="224">
        <f ca="1">IFERROR(__xludf.DUMMYFUNCTION("IMPORTRANGE(""https://docs.google.com/spreadsheets/d/1-uDff_7J0KD5mKrp0Vvzr7lt3OU09vwQwhkpOPPYv2Y/edit?usp=sharing"",""งบพรบ!CH22"")"),680)</f>
        <v>680</v>
      </c>
      <c r="O162" s="224">
        <f ca="1">IF(L162&gt;0,N162*100/L162,0)</f>
        <v>0</v>
      </c>
      <c r="P162" s="224">
        <f ca="1">IF(M162&gt;0,N162*100/M162,0)</f>
        <v>65.384615384615387</v>
      </c>
      <c r="Q162" s="224">
        <f ca="1">IFERROR(__xludf.DUMMYFUNCTION("IMPORTRANGE(""https://docs.google.com/spreadsheets/d/1ItG2mGa2ceCfYo0BwxsXqNm01IGEUdYcSSLTEv9YCik/edit?usp=sharing"",""เบิกจ่ายกองทุน!AM22"")"),0)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IFERROR(__xludf.DUMMYFUNCTION("IMPORTRANGE(""https://docs.google.com/spreadsheets/d/1ItG2mGa2ceCfYo0BwxsXqNm01IGEUdYcSSLTEv9YCik/edit?usp=sharing"",""เบิกจ่ายกองทุน!AN22"")"),0)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IFERROR(__xludf.DUMMYFUNCTION("IMPORTRANGE(""https://docs.google.com/spreadsheets/d/1ItG2mGa2ceCfYo0BwxsXqNm01IGEUdYcSSLTEv9YCik/edit?usp=sharing"",""เบิกจ่ายกองทุน!AO22"")"),0)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IFERROR(__xludf.DUMMYFUNCTION("IMPORTRANGE(""https://docs.google.com/spreadsheets/d/1-uDff_7J0KD5mKrp0Vvzr7lt3OU09vwQwhkpOPPYv2Y/edit?usp=sharing"",""งบพรบ!CD22"")"),0)</f>
        <v>0</v>
      </c>
      <c r="M165" s="224">
        <f ca="1">IFERROR(__xludf.DUMMYFUNCTION("IMPORTRANGE(""https://docs.google.com/spreadsheets/d/1-uDff_7J0KD5mKrp0Vvzr7lt3OU09vwQwhkpOPPYv2Y/edit?usp=sharing"",""งบพรบ!CG22"")"),0)</f>
        <v>0</v>
      </c>
      <c r="N165" s="224">
        <f ca="1">IFERROR(__xludf.DUMMYFUNCTION("IMPORTRANGE(""https://docs.google.com/spreadsheets/d/1-uDff_7J0KD5mKrp0Vvzr7lt3OU09vwQwhkpOPPYv2Y/edit?usp=sharing"",""งบพรบ!CI22"")"),0)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IFERROR(__xludf.DUMMYFUNCTION("IMPORTRANGE(""https://docs.google.com/spreadsheets/d/1eHaY18a8A9IcSdp1K8H6x8fbOy06t2VsZHhMHf-1x7Y/edit?usp=sharing"",""แผน!Z22"")"),0)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IFERROR(__xludf.DUMMYFUNCTION("IMPORTRANGE(""https://docs.google.com/spreadsheets/d/1eHaY18a8A9IcSdp1K8H6x8fbOy06t2VsZHhMHf-1x7Y/edit?usp=sharing"",""แผน!Z22"")"),0)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IFERROR(__xludf.DUMMYFUNCTION("IMPORTRANGE(""https://docs.google.com/spreadsheets/d/1eHaY18a8A9IcSdp1K8H6x8fbOy06t2VsZHhMHf-1x7Y/edit?usp=sharing"",""แผน!Z22"")"),0)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31390</v>
      </c>
      <c r="N173" s="547">
        <f ca="1">N174+N175</f>
        <v>30070</v>
      </c>
      <c r="O173" s="547">
        <f ca="1">IF(L173&gt;0,N173*100/L173,0)</f>
        <v>153.49668198060235</v>
      </c>
      <c r="P173" s="547">
        <f ca="1">IF(M173&gt;0,N173*100/M173,0)</f>
        <v>95.794839120739084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31390</v>
      </c>
      <c r="N175" s="224">
        <f ca="1">N178+N181</f>
        <v>30070</v>
      </c>
      <c r="O175" s="224">
        <f ca="1">IF(L175&gt;0,N175*100/L175,0)</f>
        <v>153.49668198060235</v>
      </c>
      <c r="P175" s="224">
        <f ca="1">IF(M175&gt;0,N175*100/M175,0)</f>
        <v>95.794839120739084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31390</v>
      </c>
      <c r="N176" s="224">
        <f ca="1">N177+N178</f>
        <v>30070</v>
      </c>
      <c r="O176" s="224">
        <f ca="1">IF(L176&gt;0,N176*100/L176,0)</f>
        <v>153.49668198060235</v>
      </c>
      <c r="P176" s="224">
        <f ca="1">IF(M176&gt;0,N176*100/M176,0)</f>
        <v>95.794839120739084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IFERROR(__xludf.DUMMYFUNCTION("IMPORTRANGE(""https://docs.google.com/spreadsheets/d/1-uDff_7J0KD5mKrp0Vvzr7lt3OU09vwQwhkpOPPYv2Y/edit?usp=sharing"",""งบพรบ!CK22"")"),19590)</f>
        <v>19590</v>
      </c>
      <c r="M178" s="224">
        <f ca="1">IFERROR(__xludf.DUMMYFUNCTION("IMPORTRANGE(""https://docs.google.com/spreadsheets/d/1-uDff_7J0KD5mKrp0Vvzr7lt3OU09vwQwhkpOPPYv2Y/edit?usp=sharing"",""งบพรบ!CP22"")"),31390)</f>
        <v>31390</v>
      </c>
      <c r="N178" s="224">
        <f ca="1">IFERROR(__xludf.DUMMYFUNCTION("IMPORTRANGE(""https://docs.google.com/spreadsheets/d/1-uDff_7J0KD5mKrp0Vvzr7lt3OU09vwQwhkpOPPYv2Y/edit?usp=sharing"",""งบพรบ!CR22"")"),30070)</f>
        <v>30070</v>
      </c>
      <c r="O178" s="224">
        <f ca="1">IF(L178&gt;0,N178*100/L178,0)</f>
        <v>153.49668198060235</v>
      </c>
      <c r="P178" s="224">
        <f ca="1">IF(M178&gt;0,N178*100/M178,0)</f>
        <v>95.794839120739084</v>
      </c>
      <c r="Q178" s="224">
        <f ca="1">IFERROR(__xludf.DUMMYFUNCTION("IMPORTRANGE(""https://docs.google.com/spreadsheets/d/1ItG2mGa2ceCfYo0BwxsXqNm01IGEUdYcSSLTEv9YCik/edit?usp=sharing"",""เบิกจ่ายกองทุน!DG22"")"),0)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IFERROR(__xludf.DUMMYFUNCTION("IMPORTRANGE(""https://docs.google.com/spreadsheets/d/1ItG2mGa2ceCfYo0BwxsXqNm01IGEUdYcSSLTEv9YCik/edit?usp=sharing"",""เบิกจ่ายกองทุน!DH22"")"),0)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IFERROR(__xludf.DUMMYFUNCTION("IMPORTRANGE(""https://docs.google.com/spreadsheets/d/1ItG2mGa2ceCfYo0BwxsXqNm01IGEUdYcSSLTEv9YCik/edit?usp=sharing"",""เบิกจ่ายกองทุน!DI22"")"),0)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IFERROR(__xludf.DUMMYFUNCTION("IMPORTRANGE(""https://docs.google.com/spreadsheets/d/1-uDff_7J0KD5mKrp0Vvzr7lt3OU09vwQwhkpOPPYv2Y/edit?usp=sharing"",""งบพรบ!CN22"")"),0)</f>
        <v>0</v>
      </c>
      <c r="M181" s="224">
        <f ca="1">IFERROR(__xludf.DUMMYFUNCTION("IMPORTRANGE(""https://docs.google.com/spreadsheets/d/1-uDff_7J0KD5mKrp0Vvzr7lt3OU09vwQwhkpOPPYv2Y/edit?usp=sharing"",""งบพรบ!CQ22"")"),0)</f>
        <v>0</v>
      </c>
      <c r="N181" s="224">
        <f ca="1">IFERROR(__xludf.DUMMYFUNCTION("IMPORTRANGE(""https://docs.google.com/spreadsheets/d/1-uDff_7J0KD5mKrp0Vvzr7lt3OU09vwQwhkpOPPYv2Y/edit?usp=sharing"",""งบพรบ!CS22"")"),0)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IFERROR(__xludf.DUMMYFUNCTION("IMPORTRANGE(""https://docs.google.com/spreadsheets/d/1eHaY18a8A9IcSdp1K8H6x8fbOy06t2VsZHhMHf-1x7Y/edit?usp=sharing"",""แผน!AA22"")"),7)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211500</v>
      </c>
      <c r="M186" s="547">
        <f ca="1">M187+M188</f>
        <v>219200</v>
      </c>
      <c r="N186" s="547">
        <f ca="1">N187+N188</f>
        <v>217194.32</v>
      </c>
      <c r="O186" s="547">
        <f ca="1">IF(L186&gt;0,N186*100/L186,0)</f>
        <v>102.69234988179669</v>
      </c>
      <c r="P186" s="547">
        <f ca="1">IF(M186&gt;0,N186*100/M186,0)</f>
        <v>99.084999999999994</v>
      </c>
      <c r="Q186" s="547">
        <f ca="1">Q187+Q188</f>
        <v>42000</v>
      </c>
      <c r="R186" s="547">
        <f ca="1">R187+R188</f>
        <v>42000</v>
      </c>
      <c r="S186" s="547">
        <f ca="1">S187+S188</f>
        <v>2550</v>
      </c>
      <c r="T186" s="547">
        <f ca="1">IF(Q186&gt;0,S186*100/Q186,0)</f>
        <v>6.0714285714285712</v>
      </c>
      <c r="U186" s="547">
        <f ca="1">IF(R186&gt;0,S186*100/R186,0)</f>
        <v>6.0714285714285712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211500</v>
      </c>
      <c r="M188" s="224">
        <f ca="1">M191+M194</f>
        <v>219200</v>
      </c>
      <c r="N188" s="224">
        <f ca="1">N191+N194</f>
        <v>217194.32</v>
      </c>
      <c r="O188" s="224">
        <f ca="1">IF(L188&gt;0,N188*100/L188,0)</f>
        <v>102.69234988179669</v>
      </c>
      <c r="P188" s="224">
        <f ca="1">IF(M188&gt;0,N188*100/M188,0)</f>
        <v>99.084999999999994</v>
      </c>
      <c r="Q188" s="224">
        <f ca="1">Q191+Q194</f>
        <v>42000</v>
      </c>
      <c r="R188" s="224">
        <f ca="1">R191+R194</f>
        <v>42000</v>
      </c>
      <c r="S188" s="224">
        <f ca="1">S191+S194</f>
        <v>2550</v>
      </c>
      <c r="T188" s="224">
        <f ca="1">IF(Q188&gt;0,S188*100/Q188,0)</f>
        <v>6.0714285714285712</v>
      </c>
      <c r="U188" s="224">
        <f ca="1">IF(R188&gt;0,S188*100/R188,0)</f>
        <v>6.0714285714285712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211500</v>
      </c>
      <c r="M189" s="224">
        <f ca="1">M190+M191</f>
        <v>219200</v>
      </c>
      <c r="N189" s="224">
        <f ca="1">N190+N191</f>
        <v>217194.32</v>
      </c>
      <c r="O189" s="224">
        <f ca="1">IF(L189&gt;0,N189*100/L189,0)</f>
        <v>102.69234988179669</v>
      </c>
      <c r="P189" s="224">
        <f ca="1">IF(M189&gt;0,N189*100/M189,0)</f>
        <v>99.084999999999994</v>
      </c>
      <c r="Q189" s="224">
        <f ca="1">Q190+Q191</f>
        <v>42000</v>
      </c>
      <c r="R189" s="224">
        <f ca="1">R190+R191</f>
        <v>42000</v>
      </c>
      <c r="S189" s="224">
        <f ca="1">S190+S191</f>
        <v>2550</v>
      </c>
      <c r="T189" s="224">
        <f ca="1">IF(Q189&gt;0,S189*100/Q189,0)</f>
        <v>6.0714285714285712</v>
      </c>
      <c r="U189" s="224">
        <f ca="1">IF(R189&gt;0,S189*100/R189,0)</f>
        <v>6.0714285714285712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IFERROR(__xludf.DUMMYFUNCTION("IMPORTRANGE(""https://docs.google.com/spreadsheets/d/1-uDff_7J0KD5mKrp0Vvzr7lt3OU09vwQwhkpOPPYv2Y/edit?usp=sharing"",""งบพรบ!CU22"")"),211500)</f>
        <v>211500</v>
      </c>
      <c r="M191" s="224">
        <f ca="1">IFERROR(__xludf.DUMMYFUNCTION("IMPORTRANGE(""https://docs.google.com/spreadsheets/d/1-uDff_7J0KD5mKrp0Vvzr7lt3OU09vwQwhkpOPPYv2Y/edit?usp=sharing"",""งบพรบ!CZ22"")"),219200)</f>
        <v>219200</v>
      </c>
      <c r="N191" s="224">
        <f ca="1">IFERROR(__xludf.DUMMYFUNCTION("IMPORTRANGE(""https://docs.google.com/spreadsheets/d/1-uDff_7J0KD5mKrp0Vvzr7lt3OU09vwQwhkpOPPYv2Y/edit?usp=sharing"",""งบพรบ!DB22"")"),217194.32)</f>
        <v>217194.32</v>
      </c>
      <c r="O191" s="224">
        <f ca="1">IF(L191&gt;0,N191*100/L191,0)</f>
        <v>102.69234988179669</v>
      </c>
      <c r="P191" s="224">
        <f ca="1">IF(M191&gt;0,N191*100/M191,0)</f>
        <v>99.084999999999994</v>
      </c>
      <c r="Q191" s="224">
        <f ca="1">IFERROR(__xludf.DUMMYFUNCTION("IMPORTRANGE(""https://docs.google.com/spreadsheets/d/1ItG2mGa2ceCfYo0BwxsXqNm01IGEUdYcSSLTEv9YCik/edit?usp=sharing"",""เบิกจ่ายกองทุน!BQ22"")"),42000)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IFERROR(__xludf.DUMMYFUNCTION("IMPORTRANGE(""https://docs.google.com/spreadsheets/d/1ItG2mGa2ceCfYo0BwxsXqNm01IGEUdYcSSLTEv9YCik/edit?usp=sharing"",""เบิกจ่ายกองทุน!BR22"")"),42000)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IFERROR(__xludf.DUMMYFUNCTION("IMPORTRANGE(""https://docs.google.com/spreadsheets/d/1ItG2mGa2ceCfYo0BwxsXqNm01IGEUdYcSSLTEv9YCik/edit?usp=sharing"",""เบิกจ่ายกองทุน!BS22"")"),2550)</f>
        <v>2550</v>
      </c>
      <c r="T191" s="224">
        <f ca="1">IF(Q191&gt;0,S191*100/Q191,0)</f>
        <v>6.0714285714285712</v>
      </c>
      <c r="U191" s="224">
        <f ca="1">IF(R191&gt;0,S191*100/R191,0)</f>
        <v>6.0714285714285712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IFERROR(__xludf.DUMMYFUNCTION("IMPORTRANGE(""https://docs.google.com/spreadsheets/d/1-uDff_7J0KD5mKrp0Vvzr7lt3OU09vwQwhkpOPPYv2Y/edit?usp=sharing"",""งบพรบ!CX22"")"),0)</f>
        <v>0</v>
      </c>
      <c r="M194" s="224">
        <f ca="1">IFERROR(__xludf.DUMMYFUNCTION("IMPORTRANGE(""https://docs.google.com/spreadsheets/d/1-uDff_7J0KD5mKrp0Vvzr7lt3OU09vwQwhkpOPPYv2Y/edit?usp=sharing"",""งบพรบ!DA22"")"),0)</f>
        <v>0</v>
      </c>
      <c r="N194" s="224">
        <f ca="1">IFERROR(__xludf.DUMMYFUNCTION("IMPORTRANGE(""https://docs.google.com/spreadsheets/d/1-uDff_7J0KD5mKrp0Vvzr7lt3OU09vwQwhkpOPPYv2Y/edit?usp=sharing"",""งบพรบ!DC22"")"),0)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IFERROR(__xludf.DUMMYFUNCTION("IMPORTRANGE(""https://docs.google.com/spreadsheets/d/1ItG2mGa2ceCfYo0BwxsXqNm01IGEUdYcSSLTEv9YCik/edit?usp=sharing"",""เบิกจ่ายกองทุน!BT22"")"),0)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IFERROR(__xludf.DUMMYFUNCTION("IMPORTRANGE(""https://docs.google.com/spreadsheets/d/1ItG2mGa2ceCfYo0BwxsXqNm01IGEUdYcSSLTEv9YCik/edit?usp=sharing"",""เบิกจ่ายกองทุน!BU22"")"),0)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IFERROR(__xludf.DUMMYFUNCTION("IMPORTRANGE(""https://docs.google.com/spreadsheets/d/1ItG2mGa2ceCfYo0BwxsXqNm01IGEUdYcSSLTEv9YCik/edit?usp=sharing"",""เบิกจ่ายกองทุน!BV22"")"),0)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IFERROR(__xludf.DUMMYFUNCTION("IMPORTRANGE(""https://docs.google.com/spreadsheets/d/1eHaY18a8A9IcSdp1K8H6x8fbOy06t2VsZHhMHf-1x7Y/edit?usp=sharing"",""แผน!AB22"")"),6000)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IFERROR(__xludf.DUMMYFUNCTION("IMPORTRANGE(""https://docs.google.com/spreadsheets/d/1eHaY18a8A9IcSdp1K8H6x8fbOy06t2VsZHhMHf-1x7Y/edit?usp=sharing"",""แผน!AE22"")"),4)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0</v>
      </c>
      <c r="K202" s="303">
        <f ca="1">IF(I202&gt;0,J202*100/I202,0)</f>
        <v>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15000</v>
      </c>
      <c r="M203" s="45"/>
      <c r="N203" s="547">
        <f>N204+N205+N206+N207</f>
        <v>3000</v>
      </c>
      <c r="O203" s="547">
        <f ca="1">IF(L203&gt;0,N203*100/L203,0)</f>
        <v>20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IFERROR(__xludf.DUMMYFUNCTION("IMPORTRANGE(""https://docs.google.com/spreadsheets/d/1eHaY18a8A9IcSdp1K8H6x8fbOy06t2VsZHhMHf-1x7Y/edit?usp=sharing"",""แผน!AG22"")"),3000)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IFERROR(__xludf.DUMMYFUNCTION("IMPORTRANGE(""https://docs.google.com/spreadsheets/d/1eHaY18a8A9IcSdp1K8H6x8fbOy06t2VsZHhMHf-1x7Y/edit?usp=sharing"",""แผน!AH22"")"),0)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IFERROR(__xludf.DUMMYFUNCTION("IMPORTRANGE(""https://docs.google.com/spreadsheets/d/1eHaY18a8A9IcSdp1K8H6x8fbOy06t2VsZHhMHf-1x7Y/edit?usp=sharing"",""แผน!AI22"")"),0)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IFERROR(__xludf.DUMMYFUNCTION("IMPORTRANGE(""https://docs.google.com/spreadsheets/d/1eHaY18a8A9IcSdp1K8H6x8fbOy06t2VsZHhMHf-1x7Y/edit?usp=sharing"",""แผน!LV22"")"),42000)</f>
        <v>42000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IFERROR(__xludf.DUMMYFUNCTION("IMPORTRANGE(""https://docs.google.com/spreadsheets/d/1eHaY18a8A9IcSdp1K8H6x8fbOy06t2VsZHhMHf-1x7Y/edit?usp=sharing"",""แผน!AJ22"")"),12000)</f>
        <v>12000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IFERROR(__xludf.DUMMYFUNCTION("IMPORTRANGE(""https://docs.google.com/spreadsheets/d/1eHaY18a8A9IcSdp1K8H6x8fbOy06t2VsZHhMHf-1x7Y/edit?usp=sharing"",""แผน!AK22"")"),3)</f>
        <v>3</v>
      </c>
      <c r="J209" s="380">
        <v>0</v>
      </c>
      <c r="K209" s="569">
        <f ca="1">IF(I209&gt;0,J209*100/I209,0)</f>
        <v>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IFERROR(__xludf.DUMMYFUNCTION("IMPORTRANGE(""https://docs.google.com/spreadsheets/d/1eHaY18a8A9IcSdp1K8H6x8fbOy06t2VsZHhMHf-1x7Y/edit?usp=sharing"",""แผน!JX22"")"),3)</f>
        <v>3</v>
      </c>
      <c r="J211" s="380">
        <v>0</v>
      </c>
      <c r="K211" s="569">
        <f ca="1">IF(I211&gt;0,J211*100/I211,0)</f>
        <v>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IFERROR(__xludf.DUMMYFUNCTION("IMPORTRANGE(""https://docs.google.com/spreadsheets/d/1eHaY18a8A9IcSdp1K8H6x8fbOy06t2VsZHhMHf-1x7Y/edit?usp=sharing"",""แผน!JY22"")"),0)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IFERROR(__xludf.DUMMYFUNCTION("IMPORTRANGE(""https://docs.google.com/spreadsheets/d/1eHaY18a8A9IcSdp1K8H6x8fbOy06t2VsZHhMHf-1x7Y/edit?usp=sharing"",""แผน!AM22"")"),0)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IFERROR(__xludf.DUMMYFUNCTION("IMPORTRANGE(""https://docs.google.com/spreadsheets/d/1eHaY18a8A9IcSdp1K8H6x8fbOy06t2VsZHhMHf-1x7Y/edit?usp=sharing"",""แผน!AN22"")"),0)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IFERROR(__xludf.DUMMYFUNCTION("IMPORTRANGE(""https://docs.google.com/spreadsheets/d/1eHaY18a8A9IcSdp1K8H6x8fbOy06t2VsZHhMHf-1x7Y/edit?usp=sharing"",""แผน!AO22"")"),0)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IFERROR(__xludf.DUMMYFUNCTION("IMPORTRANGE(""https://docs.google.com/spreadsheets/d/1eHaY18a8A9IcSdp1K8H6x8fbOy06t2VsZHhMHf-1x7Y/edit?usp=sharing"",""แผน!LY22"")"),0)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IFERROR(__xludf.DUMMYFUNCTION("IMPORTRANGE(""https://docs.google.com/spreadsheets/d/1eHaY18a8A9IcSdp1K8H6x8fbOy06t2VsZHhMHf-1x7Y/edit?usp=sharing"",""แผน!AP22"")"),0)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IFERROR(__xludf.DUMMYFUNCTION("IMPORTRANGE(""https://docs.google.com/spreadsheets/d/1eHaY18a8A9IcSdp1K8H6x8fbOy06t2VsZHhMHf-1x7Y/edit?usp=sharing"",""แผน!AP22"")"),0)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IFERROR(__xludf.DUMMYFUNCTION("IMPORTRANGE(""https://docs.google.com/spreadsheets/d/1eHaY18a8A9IcSdp1K8H6x8fbOy06t2VsZHhMHf-1x7Y/edit?usp=sharing"",""แผน!AR22"")"),2500)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IFERROR(__xludf.DUMMYFUNCTION("IMPORTRANGE(""https://docs.google.com/spreadsheets/d/1eHaY18a8A9IcSdp1K8H6x8fbOy06t2VsZHhMHf-1x7Y/edit?usp=sharing"",""แผน!AS22"")"),6000)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IFERROR(__xludf.DUMMYFUNCTION("IMPORTRANGE(""https://docs.google.com/spreadsheets/d/1eHaY18a8A9IcSdp1K8H6x8fbOy06t2VsZHhMHf-1x7Y/edit?usp=sharing"",""แผน!AT22"")"),0)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IFERROR(__xludf.DUMMYFUNCTION("IMPORTRANGE(""https://docs.google.com/spreadsheets/d/1eHaY18a8A9IcSdp1K8H6x8fbOy06t2VsZHhMHf-1x7Y/edit?usp=sharing"",""แผน!AV22"")"),50000)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IFERROR(__xludf.DUMMYFUNCTION("IMPORTRANGE(""https://docs.google.com/spreadsheets/d/1eHaY18a8A9IcSdp1K8H6x8fbOy06t2VsZHhMHf-1x7Y/edit?usp=sharing"",""แผน!AV22"")"),50000)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IFERROR(__xludf.DUMMYFUNCTION("IMPORTRANGE(""https://docs.google.com/spreadsheets/d/1eHaY18a8A9IcSdp1K8H6x8fbOy06t2VsZHhMHf-1x7Y/edit?usp=sharing"",""แผน!AU22"")"),0)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IFERROR(__xludf.DUMMYFUNCTION("IMPORTRANGE(""https://docs.google.com/spreadsheets/d/1eHaY18a8A9IcSdp1K8H6x8fbOy06t2VsZHhMHf-1x7Y/edit?usp=sharing"",""แผน!AX22"")"),0)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IFERROR(__xludf.DUMMYFUNCTION("IMPORTRANGE(""https://docs.google.com/spreadsheets/d/1eHaY18a8A9IcSdp1K8H6x8fbOy06t2VsZHhMHf-1x7Y/edit?usp=sharing"",""แผน!AY22"")"),0)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IFERROR(__xludf.DUMMYFUNCTION("IMPORTRANGE(""https://docs.google.com/spreadsheets/d/1eHaY18a8A9IcSdp1K8H6x8fbOy06t2VsZHhMHf-1x7Y/edit?usp=sharing"",""แผน!AZ22"")"),0)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IFERROR(__xludf.DUMMYFUNCTION("IMPORTRANGE(""https://docs.google.com/spreadsheets/d/1eHaY18a8A9IcSdp1K8H6x8fbOy06t2VsZHhMHf-1x7Y/edit?usp=sharing"",""แผน!BA22"")"),0)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IFERROR(__xludf.DUMMYFUNCTION("IMPORTRANGE(""https://docs.google.com/spreadsheets/d/1eHaY18a8A9IcSdp1K8H6x8fbOy06t2VsZHhMHf-1x7Y/edit?usp=sharing"",""แผน!BG22"")"),0)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IFERROR(__xludf.DUMMYFUNCTION("IMPORTRANGE(""https://docs.google.com/spreadsheets/d/1eHaY18a8A9IcSdp1K8H6x8fbOy06t2VsZHhMHf-1x7Y/edit?usp=sharing"",""แผน!BB22"")"),0)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IFERROR(__xludf.DUMMYFUNCTION("IMPORTRANGE(""https://docs.google.com/spreadsheets/d/1eHaY18a8A9IcSdp1K8H6x8fbOy06t2VsZHhMHf-1x7Y/edit?usp=sharing"",""แผน!BC22"")"),0)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IFERROR(__xludf.DUMMYFUNCTION("IMPORTRANGE(""https://docs.google.com/spreadsheets/d/1eHaY18a8A9IcSdp1K8H6x8fbOy06t2VsZHhMHf-1x7Y/edit?usp=sharing"",""แผน!BD22"")"),0)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IFERROR(__xludf.DUMMYFUNCTION("IMPORTRANGE(""https://docs.google.com/spreadsheets/d/1eHaY18a8A9IcSdp1K8H6x8fbOy06t2VsZHhMHf-1x7Y/edit?usp=sharing"",""แผน!BE22"")"),0)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IFERROR(__xludf.DUMMYFUNCTION("IMPORTRANGE(""https://docs.google.com/spreadsheets/d/1eHaY18a8A9IcSdp1K8H6x8fbOy06t2VsZHhMHf-1x7Y/edit?usp=sharing"",""แผน!BH22"")"),0)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19100</v>
      </c>
      <c r="N266" s="715">
        <f ca="1">N267+N268</f>
        <v>14440</v>
      </c>
      <c r="O266" s="715">
        <f ca="1">IF(L266&gt;0,N266*100/L266,0)</f>
        <v>288.8</v>
      </c>
      <c r="P266" s="715">
        <f ca="1">IF(M266&gt;0,N266*100/M266,0)</f>
        <v>75.602094240837701</v>
      </c>
      <c r="Q266" s="715">
        <f ca="1">Q267+Q268</f>
        <v>53440</v>
      </c>
      <c r="R266" s="715">
        <f ca="1">R267+R268</f>
        <v>53440</v>
      </c>
      <c r="S266" s="715">
        <f ca="1">S267+S268</f>
        <v>53440</v>
      </c>
      <c r="T266" s="715">
        <f ca="1">IF(Q266&gt;0,S266*100/Q266,0)</f>
        <v>100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19100</v>
      </c>
      <c r="N268" s="558">
        <f ca="1">N271+N274</f>
        <v>14440</v>
      </c>
      <c r="O268" s="558">
        <f ca="1">IF(L268&gt;0,N268*100/L268,0)</f>
        <v>288.8</v>
      </c>
      <c r="P268" s="558">
        <f ca="1">IF(M268&gt;0,N268*100/M268,0)</f>
        <v>75.602094240837701</v>
      </c>
      <c r="Q268" s="558">
        <f ca="1">Q271+Q274</f>
        <v>53440</v>
      </c>
      <c r="R268" s="558">
        <f ca="1">R271+R274</f>
        <v>53440</v>
      </c>
      <c r="S268" s="558">
        <f ca="1">S271+S274</f>
        <v>53440</v>
      </c>
      <c r="T268" s="558">
        <f ca="1">IF(Q268&gt;0,S268*100/Q268,0)</f>
        <v>100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19100</v>
      </c>
      <c r="N269" s="558">
        <f ca="1">N270+N271</f>
        <v>14440</v>
      </c>
      <c r="O269" s="558">
        <f ca="1">IF(L269&gt;0,N269*100/L269,0)</f>
        <v>288.8</v>
      </c>
      <c r="P269" s="558">
        <f ca="1">IF(M269&gt;0,N269*100/M269,0)</f>
        <v>75.602094240837701</v>
      </c>
      <c r="Q269" s="558">
        <f ca="1">Q270+Q271</f>
        <v>53440</v>
      </c>
      <c r="R269" s="558">
        <f ca="1">R270+R271</f>
        <v>53440</v>
      </c>
      <c r="S269" s="558">
        <f ca="1">S270+S271</f>
        <v>53440</v>
      </c>
      <c r="T269" s="558">
        <f ca="1">IF(Q269&gt;0,S269*100/Q269,0)</f>
        <v>100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IFERROR(__xludf.DUMMYFUNCTION("IMPORTRANGE(""https://docs.google.com/spreadsheets/d/1-uDff_7J0KD5mKrp0Vvzr7lt3OU09vwQwhkpOPPYv2Y/edit?usp=sharing"",""งบพรบ!DE22"")"),5000)</f>
        <v>5000</v>
      </c>
      <c r="M271" s="558">
        <f ca="1">IFERROR(__xludf.DUMMYFUNCTION("IMPORTRANGE(""https://docs.google.com/spreadsheets/d/1-uDff_7J0KD5mKrp0Vvzr7lt3OU09vwQwhkpOPPYv2Y/edit?usp=sharing"",""งบพรบ!DJ22"")"),19100)</f>
        <v>19100</v>
      </c>
      <c r="N271" s="558">
        <f ca="1">IFERROR(__xludf.DUMMYFUNCTION("IMPORTRANGE(""https://docs.google.com/spreadsheets/d/1-uDff_7J0KD5mKrp0Vvzr7lt3OU09vwQwhkpOPPYv2Y/edit?usp=sharing"",""งบพรบ!DL22"")"),14440)</f>
        <v>14440</v>
      </c>
      <c r="O271" s="558">
        <f ca="1">IF(L271&gt;0,N271*100/L271,0)</f>
        <v>288.8</v>
      </c>
      <c r="P271" s="558">
        <f ca="1">IF(M271&gt;0,N271*100/M271,0)</f>
        <v>75.602094240837701</v>
      </c>
      <c r="Q271" s="558">
        <f ca="1">IFERROR(__xludf.DUMMYFUNCTION("IMPORTRANGE(""https://docs.google.com/spreadsheets/d/1ItG2mGa2ceCfYo0BwxsXqNm01IGEUdYcSSLTEv9YCik/edit?usp=sharing"",""เบิกจ่ายกองทุน!AP22"")"),53440)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IFERROR(__xludf.DUMMYFUNCTION("IMPORTRANGE(""https://docs.google.com/spreadsheets/d/1ItG2mGa2ceCfYo0BwxsXqNm01IGEUdYcSSLTEv9YCik/edit?usp=sharing"",""เบิกจ่ายกองทุน!AQ22"")"),53440)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IFERROR(__xludf.DUMMYFUNCTION("IMPORTRANGE(""https://docs.google.com/spreadsheets/d/1ItG2mGa2ceCfYo0BwxsXqNm01IGEUdYcSSLTEv9YCik/edit?usp=sharing"",""เบิกจ่ายกองทุน!AR22"")"),53440)</f>
        <v>53440</v>
      </c>
      <c r="T271" s="558">
        <f ca="1">IF(Q271&gt;0,S271*100/Q271,0)</f>
        <v>100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IFERROR(__xludf.DUMMYFUNCTION("IMPORTRANGE(""https://docs.google.com/spreadsheets/d/1-uDff_7J0KD5mKrp0Vvzr7lt3OU09vwQwhkpOPPYv2Y/edit?usp=sharing"",""งบพรบ!DH22"")"),0)</f>
        <v>0</v>
      </c>
      <c r="M274" s="558">
        <f ca="1">IFERROR(__xludf.DUMMYFUNCTION("IMPORTRANGE(""https://docs.google.com/spreadsheets/d/1-uDff_7J0KD5mKrp0Vvzr7lt3OU09vwQwhkpOPPYv2Y/edit?usp=sharing"",""งบพรบ!DK22"")"),0)</f>
        <v>0</v>
      </c>
      <c r="N274" s="558">
        <f ca="1">IFERROR(__xludf.DUMMYFUNCTION("IMPORTRANGE(""https://docs.google.com/spreadsheets/d/1-uDff_7J0KD5mKrp0Vvzr7lt3OU09vwQwhkpOPPYv2Y/edit?usp=sharing"",""งบพรบ!DM22"")"),0)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IFERROR(__xludf.DUMMYFUNCTION("IMPORTRANGE(""https://docs.google.com/spreadsheets/d/1eHaY18a8A9IcSdp1K8H6x8fbOy06t2VsZHhMHf-1x7Y/edit?usp=sharing"",""แผน!EC22"")"),24)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187220</v>
      </c>
      <c r="M282" s="547">
        <f ca="1">M283+M284</f>
        <v>196730</v>
      </c>
      <c r="N282" s="547">
        <f ca="1">N283+N284</f>
        <v>147264.59</v>
      </c>
      <c r="O282" s="547">
        <f ca="1">IF(L282&gt;0,N282*100/L282,0)</f>
        <v>78.658578143360756</v>
      </c>
      <c r="P282" s="547">
        <f ca="1">IF(M282&gt;0,N282*100/M282,0)</f>
        <v>74.856193768108582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187220</v>
      </c>
      <c r="M284" s="224">
        <f ca="1">M287+M290</f>
        <v>196730</v>
      </c>
      <c r="N284" s="224">
        <f ca="1">N287+N290</f>
        <v>147264.59</v>
      </c>
      <c r="O284" s="224">
        <f ca="1">IF(L284&gt;0,N284*100/L284,0)</f>
        <v>78.658578143360756</v>
      </c>
      <c r="P284" s="224">
        <f ca="1">IF(M284&gt;0,N284*100/M284,0)</f>
        <v>74.856193768108582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187220</v>
      </c>
      <c r="M285" s="224">
        <f ca="1">M286+M287</f>
        <v>196730</v>
      </c>
      <c r="N285" s="224">
        <f ca="1">N286+N287</f>
        <v>147264.59</v>
      </c>
      <c r="O285" s="224">
        <f ca="1">IF(L285&gt;0,N285*100/L285,0)</f>
        <v>78.658578143360756</v>
      </c>
      <c r="P285" s="224">
        <f ca="1">IF(M285&gt;0,N285*100/M285,0)</f>
        <v>74.856193768108582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IFERROR(__xludf.DUMMYFUNCTION("IMPORTRANGE(""https://docs.google.com/spreadsheets/d/1-uDff_7J0KD5mKrp0Vvzr7lt3OU09vwQwhkpOPPYv2Y/edit?usp=sharing"",""งบพรบ!DO22"")"),187220)</f>
        <v>187220</v>
      </c>
      <c r="M287" s="224">
        <f ca="1">IFERROR(__xludf.DUMMYFUNCTION("IMPORTRANGE(""https://docs.google.com/spreadsheets/d/1-uDff_7J0KD5mKrp0Vvzr7lt3OU09vwQwhkpOPPYv2Y/edit?usp=sharing"",""งบพรบ!DT22"")"),196730)</f>
        <v>196730</v>
      </c>
      <c r="N287" s="224">
        <f ca="1">IFERROR(__xludf.DUMMYFUNCTION("IMPORTRANGE(""https://docs.google.com/spreadsheets/d/1-uDff_7J0KD5mKrp0Vvzr7lt3OU09vwQwhkpOPPYv2Y/edit?usp=sharing"",""งบพรบ!DV22"")"),147264.59)</f>
        <v>147264.59</v>
      </c>
      <c r="O287" s="224">
        <f ca="1">IF(L287&gt;0,N287*100/L287,0)</f>
        <v>78.658578143360756</v>
      </c>
      <c r="P287" s="224">
        <f ca="1">IF(M287&gt;0,N287*100/M287,0)</f>
        <v>74.856193768108582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IFERROR(__xludf.DUMMYFUNCTION("IMPORTRANGE(""https://docs.google.com/spreadsheets/d/1-uDff_7J0KD5mKrp0Vvzr7lt3OU09vwQwhkpOPPYv2Y/edit?usp=sharing"",""งบพรบ!DR22"")"),0)</f>
        <v>0</v>
      </c>
      <c r="M290" s="224">
        <f ca="1">IFERROR(__xludf.DUMMYFUNCTION("IMPORTRANGE(""https://docs.google.com/spreadsheets/d/1-uDff_7J0KD5mKrp0Vvzr7lt3OU09vwQwhkpOPPYv2Y/edit?usp=sharing"",""งบพรบ!DU22"")"),0)</f>
        <v>0</v>
      </c>
      <c r="N290" s="224">
        <f ca="1">IFERROR(__xludf.DUMMYFUNCTION("IMPORTRANGE(""https://docs.google.com/spreadsheets/d/1-uDff_7J0KD5mKrp0Vvzr7lt3OU09vwQwhkpOPPYv2Y/edit?usp=sharing"",""งบพรบ!DW22"")"),0)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IFERROR(__xludf.DUMMYFUNCTION("IMPORTRANGE(""https://docs.google.com/spreadsheets/d/1eHaY18a8A9IcSdp1K8H6x8fbOy06t2VsZHhMHf-1x7Y/edit?usp=sharing"",""แผน!EE22"")"),100)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IFERROR(__xludf.DUMMYFUNCTION("IMPORTRANGE(""https://docs.google.com/spreadsheets/d/1eHaY18a8A9IcSdp1K8H6x8fbOy06t2VsZHhMHf-1x7Y/edit?usp=sharing"",""แผน!ED22"")"),10)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IFERROR(__xludf.DUMMYFUNCTION("IMPORTRANGE(""https://docs.google.com/spreadsheets/d/1eHaY18a8A9IcSdp1K8H6x8fbOy06t2VsZHhMHf-1x7Y/edit?usp=sharing"",""แผน!ED22"")"),10)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IFERROR(__xludf.DUMMYFUNCTION("IMPORTRANGE(""https://docs.google.com/spreadsheets/d/1eHaY18a8A9IcSdp1K8H6x8fbOy06t2VsZHhMHf-1x7Y/edit?usp=sharing"",""แผน!ED22"")"),10)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IFERROR(__xludf.DUMMYFUNCTION("IMPORTRANGE(""https://docs.google.com/spreadsheets/d/1eHaY18a8A9IcSdp1K8H6x8fbOy06t2VsZHhMHf-1x7Y/edit?usp=sharing"",""แผน!ED22"")"),10)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IFERROR(__xludf.DUMMYFUNCTION("IMPORTRANGE(""https://docs.google.com/spreadsheets/d/1eHaY18a8A9IcSdp1K8H6x8fbOy06t2VsZHhMHf-1x7Y/edit?usp=sharing"",""แผน!ED22"")"),10)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173920</v>
      </c>
      <c r="T303" s="547">
        <f ca="1">IF(Q303&gt;0,S303*100/Q303,0)</f>
        <v>66.646640485481228</v>
      </c>
      <c r="U303" s="547">
        <f ca="1">IF(R303&gt;0,S303*100/R303,0)</f>
        <v>65.591081543834235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173920</v>
      </c>
      <c r="T305" s="224">
        <f ca="1">IF(Q305&gt;0,S305*100/Q305,0)</f>
        <v>66.646640485481228</v>
      </c>
      <c r="U305" s="224">
        <f ca="1">IF(R305&gt;0,S305*100/R305,0)</f>
        <v>65.591081543834235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173920</v>
      </c>
      <c r="T306" s="224">
        <f ca="1">IF(Q306&gt;0,S306*100/Q306,0)</f>
        <v>66.646640485481228</v>
      </c>
      <c r="U306" s="224">
        <f ca="1">IF(R306&gt;0,S306*100/R306,0)</f>
        <v>65.591081543834235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IFERROR(__xludf.DUMMYFUNCTION("IMPORTRANGE(""https://docs.google.com/spreadsheets/d/1-uDff_7J0KD5mKrp0Vvzr7lt3OU09vwQwhkpOPPYv2Y/edit?usp=sharing"",""งบพรบ!DY22"")"),0)</f>
        <v>0</v>
      </c>
      <c r="M308" s="224">
        <f ca="1">IFERROR(__xludf.DUMMYFUNCTION("IMPORTRANGE(""https://docs.google.com/spreadsheets/d/1-uDff_7J0KD5mKrp0Vvzr7lt3OU09vwQwhkpOPPYv2Y/edit?usp=sharing"",""งบพรบ!ED22"")"),0)</f>
        <v>0</v>
      </c>
      <c r="N308" s="224">
        <f ca="1">IFERROR(__xludf.DUMMYFUNCTION("IMPORTRANGE(""https://docs.google.com/spreadsheets/d/1-uDff_7J0KD5mKrp0Vvzr7lt3OU09vwQwhkpOPPYv2Y/edit?usp=sharing"",""งบพรบ!EF22"")"),0)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IFERROR(__xludf.DUMMYFUNCTION("IMPORTRANGE(""https://docs.google.com/spreadsheets/d/1ItG2mGa2ceCfYo0BwxsXqNm01IGEUdYcSSLTEv9YCik/edit?usp=sharing"",""เบิกจ่ายกองทุน!BB22"")"),260958.39)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IFERROR(__xludf.DUMMYFUNCTION("IMPORTRANGE(""https://docs.google.com/spreadsheets/d/1ItG2mGa2ceCfYo0BwxsXqNm01IGEUdYcSSLTEv9YCik/edit?usp=sharing"",""เบิกจ่ายกองทุน!BC22"")"),265158)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IFERROR(__xludf.DUMMYFUNCTION("IMPORTRANGE(""https://docs.google.com/spreadsheets/d/1ItG2mGa2ceCfYo0BwxsXqNm01IGEUdYcSSLTEv9YCik/edit?usp=sharing"",""เบิกจ่ายกองทุน!BD22"")"),173920)</f>
        <v>173920</v>
      </c>
      <c r="T308" s="224">
        <f ca="1">IF(Q308&gt;0,S308*100/Q308,0)</f>
        <v>66.646640485481228</v>
      </c>
      <c r="U308" s="224">
        <f ca="1">IF(R308&gt;0,S308*100/R308,0)</f>
        <v>65.591081543834235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IFERROR(__xludf.DUMMYFUNCTION("IMPORTRANGE(""https://docs.google.com/spreadsheets/d/1-uDff_7J0KD5mKrp0Vvzr7lt3OU09vwQwhkpOPPYv2Y/edit?usp=sharing"",""งบพรบ!EB22"")"),0)</f>
        <v>0</v>
      </c>
      <c r="M311" s="224">
        <f ca="1">IFERROR(__xludf.DUMMYFUNCTION("IMPORTRANGE(""https://docs.google.com/spreadsheets/d/1-uDff_7J0KD5mKrp0Vvzr7lt3OU09vwQwhkpOPPYv2Y/edit?usp=sharing"",""งบพรบ!EE22"")"),0)</f>
        <v>0</v>
      </c>
      <c r="N311" s="224">
        <f ca="1">IFERROR(__xludf.DUMMYFUNCTION("IMPORTRANGE(""https://docs.google.com/spreadsheets/d/1-uDff_7J0KD5mKrp0Vvzr7lt3OU09vwQwhkpOPPYv2Y/edit?usp=sharing"",""งบพรบ!EG22"")"),0)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IFERROR(__xludf.DUMMYFUNCTION("IMPORTRANGE(""https://docs.google.com/spreadsheets/d/1eHaY18a8A9IcSdp1K8H6x8fbOy06t2VsZHhMHf-1x7Y/edit?usp=sharing"",""แผน!EF22"")"),30)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IFERROR(__xludf.DUMMYFUNCTION("IMPORTRANGE(""https://docs.google.com/spreadsheets/d/1-uDff_7J0KD5mKrp0Vvzr7lt3OU09vwQwhkpOPPYv2Y/edit?usp=sharing"",""งบพรบ!EI22"")"),0)</f>
        <v>0</v>
      </c>
      <c r="M325" s="224">
        <f ca="1">IFERROR(__xludf.DUMMYFUNCTION("IMPORTRANGE(""https://docs.google.com/spreadsheets/d/1-uDff_7J0KD5mKrp0Vvzr7lt3OU09vwQwhkpOPPYv2Y/edit?usp=sharing"",""งบพรบ!EN22"")"),0)</f>
        <v>0</v>
      </c>
      <c r="N325" s="224">
        <f ca="1">IFERROR(__xludf.DUMMYFUNCTION("IMPORTRANGE(""https://docs.google.com/spreadsheets/d/1-uDff_7J0KD5mKrp0Vvzr7lt3OU09vwQwhkpOPPYv2Y/edit?usp=sharing"",""งบพรบ!EP22"")"),0)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IFERROR(__xludf.DUMMYFUNCTION("IMPORTRANGE(""https://docs.google.com/spreadsheets/d/1-uDff_7J0KD5mKrp0Vvzr7lt3OU09vwQwhkpOPPYv2Y/edit?usp=sharing"",""งบพรบ!EL22"")"),0)</f>
        <v>0</v>
      </c>
      <c r="M328" s="224">
        <f ca="1">IFERROR(__xludf.DUMMYFUNCTION("IMPORTRANGE(""https://docs.google.com/spreadsheets/d/1-uDff_7J0KD5mKrp0Vvzr7lt3OU09vwQwhkpOPPYv2Y/edit?usp=sharing"",""งบพรบ!EO22"")"),0)</f>
        <v>0</v>
      </c>
      <c r="N328" s="224">
        <f ca="1">IFERROR(__xludf.DUMMYFUNCTION("IMPORTRANGE(""https://docs.google.com/spreadsheets/d/1-uDff_7J0KD5mKrp0Vvzr7lt3OU09vwQwhkpOPPYv2Y/edit?usp=sharing"",""งบพรบ!EQ22"")"),0)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IFERROR(__xludf.DUMMYFUNCTION("IMPORTRANGE(""https://docs.google.com/spreadsheets/d/1eHaY18a8A9IcSdp1K8H6x8fbOy06t2VsZHhMHf-1x7Y/edit?usp=sharing"",""แผน!EJ22"")"),0)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IFERROR(__xludf.DUMMYFUNCTION("IMPORTRANGE(""https://docs.google.com/spreadsheets/d/1eHaY18a8A9IcSdp1K8H6x8fbOy06t2VsZHhMHf-1x7Y/edit?usp=sharing"",""แผน!EK22"")"),1600)</f>
        <v>1600</v>
      </c>
      <c r="J332" s="300">
        <f ca="1">J344+J347+J348+J349+J353+J354</f>
        <v>4697</v>
      </c>
      <c r="K332" s="679">
        <f ca="1">IF(I332&gt;0,J332*100/I332,0)</f>
        <v>293.5625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189000</v>
      </c>
      <c r="M333" s="547">
        <f ca="1">M334+M335</f>
        <v>189000</v>
      </c>
      <c r="N333" s="547">
        <f ca="1">N334+N335</f>
        <v>166500</v>
      </c>
      <c r="O333" s="547">
        <f ca="1">IF(L333&gt;0,N333*100/L333,0)</f>
        <v>88.095238095238102</v>
      </c>
      <c r="P333" s="547">
        <f ca="1">IF(M333&gt;0,N333*100/M333,0)</f>
        <v>88.095238095238102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189000</v>
      </c>
      <c r="M335" s="224">
        <f ca="1">M338+M341</f>
        <v>189000</v>
      </c>
      <c r="N335" s="224">
        <f ca="1">N338+N341</f>
        <v>166500</v>
      </c>
      <c r="O335" s="224">
        <f ca="1">IF(L335&gt;0,N335*100/L335,0)</f>
        <v>88.095238095238102</v>
      </c>
      <c r="P335" s="224">
        <f ca="1">IF(M335&gt;0,N335*100/M335,0)</f>
        <v>88.095238095238102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189000</v>
      </c>
      <c r="M336" s="224">
        <f ca="1">M337+M338</f>
        <v>189000</v>
      </c>
      <c r="N336" s="224">
        <f ca="1">N337+N338</f>
        <v>166500</v>
      </c>
      <c r="O336" s="224">
        <f ca="1">IF(L336&gt;0,N336*100/L336,0)</f>
        <v>88.095238095238102</v>
      </c>
      <c r="P336" s="224">
        <f ca="1">IF(M336&gt;0,N336*100/M336,0)</f>
        <v>88.095238095238102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IFERROR(__xludf.DUMMYFUNCTION("IMPORTRANGE(""https://docs.google.com/spreadsheets/d/1-uDff_7J0KD5mKrp0Vvzr7lt3OU09vwQwhkpOPPYv2Y/edit?usp=sharing"",""งบพรบ!ES22"")"),189000)</f>
        <v>189000</v>
      </c>
      <c r="M338" s="224">
        <f ca="1">IFERROR(__xludf.DUMMYFUNCTION("IMPORTRANGE(""https://docs.google.com/spreadsheets/d/1-uDff_7J0KD5mKrp0Vvzr7lt3OU09vwQwhkpOPPYv2Y/edit?usp=sharing"",""งบพรบ!EX22"")"),189000)</f>
        <v>189000</v>
      </c>
      <c r="N338" s="224">
        <f ca="1">IFERROR(__xludf.DUMMYFUNCTION("IMPORTRANGE(""https://docs.google.com/spreadsheets/d/1-uDff_7J0KD5mKrp0Vvzr7lt3OU09vwQwhkpOPPYv2Y/edit?usp=sharing"",""งบพรบ!EZ22"")"),166500)</f>
        <v>166500</v>
      </c>
      <c r="O338" s="224">
        <f ca="1">IF(L338&gt;0,N338*100/L338,0)</f>
        <v>88.095238095238102</v>
      </c>
      <c r="P338" s="224">
        <f ca="1">IF(M338&gt;0,N338*100/M338,0)</f>
        <v>88.095238095238102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IFERROR(__xludf.DUMMYFUNCTION("IMPORTRANGE(""https://docs.google.com/spreadsheets/d/1-uDff_7J0KD5mKrp0Vvzr7lt3OU09vwQwhkpOPPYv2Y/edit?usp=sharing"",""งบพรบ!EV22"")"),0)</f>
        <v>0</v>
      </c>
      <c r="M341" s="224">
        <f ca="1">IFERROR(__xludf.DUMMYFUNCTION("IMPORTRANGE(""https://docs.google.com/spreadsheets/d/1-uDff_7J0KD5mKrp0Vvzr7lt3OU09vwQwhkpOPPYv2Y/edit?usp=sharing"",""งบพรบ!EY22"")"),0)</f>
        <v>0</v>
      </c>
      <c r="N341" s="224">
        <f ca="1">IFERROR(__xludf.DUMMYFUNCTION("IMPORTRANGE(""https://docs.google.com/spreadsheets/d/1-uDff_7J0KD5mKrp0Vvzr7lt3OU09vwQwhkpOPPYv2Y/edit?usp=sharing"",""งบพรบ!FA22"")"),0)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2058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IFERROR(__xludf.DUMMYFUNCTION("IMPORTRANGE(""https://docs.google.com/spreadsheets/d/1awYsYK3VOup2i3Pq_Yjnu8DRu_mYwSBnCR2QPthd0rU/edit?usp=sharing"",""ศูนย์ยกเว้นโฉนด!D22"")"),1985)</f>
        <v>1985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IFERROR(__xludf.DUMMYFUNCTION("IMPORTRANGE(""https://docs.google.com/spreadsheets/d/1eHaY18a8A9IcSdp1K8H6x8fbOy06t2VsZHhMHf-1x7Y/edit?usp=sharing"",""แผน!EL22"")"),8)</f>
        <v>8</v>
      </c>
      <c r="J346" s="184">
        <f ca="1">IFERROR(__xludf.DUMMYFUNCTION("IMPORTRANGE(""https://docs.google.com/spreadsheets/d/1awYsYK3VOup2i3Pq_Yjnu8DRu_mYwSBnCR2QPthd0rU/edit?usp=sharing"",""ศูนย์รวม!E22"")"),8)</f>
        <v>8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IFERROR(__xludf.DUMMYFUNCTION("IMPORTRANGE(""https://docs.google.com/spreadsheets/d/1awYsYK3VOup2i3Pq_Yjnu8DRu_mYwSBnCR2QPthd0rU/edit?usp=sharing"",""ศูนย์ยกเว้นโฉนด!F22"")"),69)</f>
        <v>69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IFERROR(__xludf.DUMMYFUNCTION("IMPORTRANGE(""https://docs.google.com/spreadsheets/d/1awYsYK3VOup2i3Pq_Yjnu8DRu_mYwSBnCR2QPthd0rU/edit?usp=sharing"",""ศูนย์ยกเว้นโฉนด!G22"")"),2)</f>
        <v>2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IFERROR(__xludf.DUMMYFUNCTION("IMPORTRANGE(""https://docs.google.com/spreadsheets/d/1awYsYK3VOup2i3Pq_Yjnu8DRu_mYwSBnCR2QPthd0rU/edit?usp=sharing"",""ศูนย์ยกเว้นโฉนด!H22"")"),2)</f>
        <v>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2639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IFERROR(__xludf.DUMMYFUNCTION("IMPORTRANGE(""https://docs.google.com/spreadsheets/d/1awYsYK3VOup2i3Pq_Yjnu8DRu_mYwSBnCR2QPthd0rU/edit?usp=sharing"",""โฉนดM3!G22"")"),962)</f>
        <v>962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IFERROR(__xludf.DUMMYFUNCTION("IMPORTRANGE(""https://docs.google.com/spreadsheets/d/1awYsYK3VOup2i3Pq_Yjnu8DRu_mYwSBnCR2QPthd0rU/edit?usp=sharing"",""โฉนดM3!H22"")"),1840)</f>
        <v>1840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IFERROR(__xludf.DUMMYFUNCTION("IMPORTRANGE(""https://docs.google.com/spreadsheets/d/1awYsYK3VOup2i3Pq_Yjnu8DRu_mYwSBnCR2QPthd0rU/edit?usp=sharing"",""โฉนดM3!I22"")"),799)</f>
        <v>799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513470</v>
      </c>
      <c r="M356" s="547">
        <f ca="1">M357+M358</f>
        <v>621470</v>
      </c>
      <c r="N356" s="547">
        <f ca="1">N357+N358</f>
        <v>488327.5</v>
      </c>
      <c r="O356" s="547">
        <f ca="1">IF(L356&gt;0,N356*100/L356,0)</f>
        <v>95.103414026135894</v>
      </c>
      <c r="P356" s="547">
        <f ca="1">IF(M356&gt;0,N356*100/M356,0)</f>
        <v>78.576198368384638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513470</v>
      </c>
      <c r="M358" s="224">
        <f ca="1">M361+M364</f>
        <v>621470</v>
      </c>
      <c r="N358" s="224">
        <f ca="1">N361+N364</f>
        <v>488327.5</v>
      </c>
      <c r="O358" s="224">
        <f ca="1">IF(L358&gt;0,N358*100/L358,0)</f>
        <v>95.103414026135894</v>
      </c>
      <c r="P358" s="224">
        <f ca="1">IF(M358&gt;0,N358*100/M358,0)</f>
        <v>78.576198368384638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513470</v>
      </c>
      <c r="M359" s="224">
        <f ca="1">M360+M361</f>
        <v>621470</v>
      </c>
      <c r="N359" s="224">
        <f ca="1">N360+N361</f>
        <v>488327.5</v>
      </c>
      <c r="O359" s="224">
        <f ca="1">IF(L359&gt;0,N359*100/L359,0)</f>
        <v>95.103414026135894</v>
      </c>
      <c r="P359" s="224">
        <f ca="1">IF(M359&gt;0,N359*100/M359,0)</f>
        <v>78.576198368384638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IFERROR(__xludf.DUMMYFUNCTION("IMPORTRANGE(""https://docs.google.com/spreadsheets/d/1-uDff_7J0KD5mKrp0Vvzr7lt3OU09vwQwhkpOPPYv2Y/edit?usp=sharing"",""งบพรบ!FC22"")"),513470)</f>
        <v>513470</v>
      </c>
      <c r="M361" s="224">
        <f ca="1">IFERROR(__xludf.DUMMYFUNCTION("IMPORTRANGE(""https://docs.google.com/spreadsheets/d/1-uDff_7J0KD5mKrp0Vvzr7lt3OU09vwQwhkpOPPYv2Y/edit?usp=sharing"",""งบพรบ!FH22"")"),621470)</f>
        <v>621470</v>
      </c>
      <c r="N361" s="224">
        <f ca="1">IFERROR(__xludf.DUMMYFUNCTION("IMPORTRANGE(""https://docs.google.com/spreadsheets/d/1-uDff_7J0KD5mKrp0Vvzr7lt3OU09vwQwhkpOPPYv2Y/edit?usp=sharing"",""งบพรบ!FJ22"")"),488327.5)</f>
        <v>488327.5</v>
      </c>
      <c r="O361" s="224">
        <f ca="1">IF(L361&gt;0,N361*100/L361,0)</f>
        <v>95.103414026135894</v>
      </c>
      <c r="P361" s="224">
        <f ca="1">IF(M361&gt;0,N361*100/M361,0)</f>
        <v>78.576198368384638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IFERROR(__xludf.DUMMYFUNCTION("IMPORTRANGE(""https://docs.google.com/spreadsheets/d/1-uDff_7J0KD5mKrp0Vvzr7lt3OU09vwQwhkpOPPYv2Y/edit?usp=sharing"",""งบพรบ!FF22"")"),0)</f>
        <v>0</v>
      </c>
      <c r="M364" s="224">
        <f ca="1">IFERROR(__xludf.DUMMYFUNCTION("IMPORTRANGE(""https://docs.google.com/spreadsheets/d/1-uDff_7J0KD5mKrp0Vvzr7lt3OU09vwQwhkpOPPYv2Y/edit?usp=sharing"",""งบพรบ!FI22"")"),0)</f>
        <v>0</v>
      </c>
      <c r="N364" s="224">
        <f ca="1">IFERROR(__xludf.DUMMYFUNCTION("IMPORTRANGE(""https://docs.google.com/spreadsheets/d/1-uDff_7J0KD5mKrp0Vvzr7lt3OU09vwQwhkpOPPYv2Y/edit?usp=sharing"",""งบพรบ!FK22"")"),0)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157</v>
      </c>
      <c r="J365" s="302">
        <f ca="1">J371</f>
        <v>144</v>
      </c>
      <c r="K365" s="303">
        <f ca="1">IF(I365&gt;0,J365*100/I365,0)</f>
        <v>91.71974522292993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IFERROR(__xludf.DUMMYFUNCTION("IMPORTRANGE(""https://docs.google.com/spreadsheets/d/1tdoBKaGub7dwA3U6UFTqxio9LNnvDCQjHKmttSEBsFQ/edit?usp=sharing"",""จัดที่ดิน!AB22"")"),11)</f>
        <v>11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IFERROR(__xludf.DUMMYFUNCTION("IMPORTRANGE(""https://docs.google.com/spreadsheets/d/1eHaY18a8A9IcSdp1K8H6x8fbOy06t2VsZHhMHf-1x7Y/edit?usp=sharing"",""แผน!EW22"")"),605)</f>
        <v>605</v>
      </c>
      <c r="J368" s="668">
        <f ca="1">IFERROR(__xludf.DUMMYFUNCTION("IMPORTRANGE(""https://docs.google.com/spreadsheets/d/1tdoBKaGub7dwA3U6UFTqxio9LNnvDCQjHKmttSEBsFQ/edit?usp=sharing"",""จัดที่ดิน!AC22"")"),52.65)</f>
        <v>52.65</v>
      </c>
      <c r="K368" s="224">
        <f ca="1">IF(I368&gt;0,J368*100/I368,0)</f>
        <v>8.7024793388429753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IFERROR(__xludf.DUMMYFUNCTION("IMPORTRANGE(""https://docs.google.com/spreadsheets/d/1eHaY18a8A9IcSdp1K8H6x8fbOy06t2VsZHhMHf-1x7Y/edit?usp=sharing"",""แผน!EX22"")"),157)</f>
        <v>157</v>
      </c>
      <c r="J369" s="184">
        <f ca="1">IFERROR(__xludf.DUMMYFUNCTION("IMPORTRANGE(""https://docs.google.com/spreadsheets/d/1tdoBKaGub7dwA3U6UFTqxio9LNnvDCQjHKmttSEBsFQ/edit?usp=sharing"",""จัดที่ดิน!AD22"")"),146)</f>
        <v>146</v>
      </c>
      <c r="K369" s="224">
        <f ca="1">IF(I369&gt;0,J369*100/I369,0)</f>
        <v>92.99363057324841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IFERROR(__xludf.DUMMYFUNCTION("IMPORTRANGE(""https://docs.google.com/spreadsheets/d/1tdoBKaGub7dwA3U6UFTqxio9LNnvDCQjHKmttSEBsFQ/edit?usp=sharing"",""จัดที่ดิน!AE22"")"),1887.46)</f>
        <v>1887.46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IFERROR(__xludf.DUMMYFUNCTION("IMPORTRANGE(""https://docs.google.com/spreadsheets/d/1eHaY18a8A9IcSdp1K8H6x8fbOy06t2VsZHhMHf-1x7Y/edit?usp=sharing"",""แผน!EY22"")"),157)</f>
        <v>157</v>
      </c>
      <c r="J371" s="184">
        <f ca="1">IFERROR(__xludf.DUMMYFUNCTION("IMPORTRANGE(""https://docs.google.com/spreadsheets/d/1tdoBKaGub7dwA3U6UFTqxio9LNnvDCQjHKmttSEBsFQ/edit?usp=sharing"",""จัดที่ดิน!AF22"")"),144)</f>
        <v>144</v>
      </c>
      <c r="K371" s="224">
        <f ca="1">IF(I371&gt;0,J371*100/I371,0)</f>
        <v>91.71974522292993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IFERROR(__xludf.DUMMYFUNCTION("IMPORTRANGE(""https://docs.google.com/spreadsheets/d/1tdoBKaGub7dwA3U6UFTqxio9LNnvDCQjHKmttSEBsFQ/edit?usp=sharing"",""จัดที่ดิน!AG22"")"),1886.59)</f>
        <v>1886.59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20578</v>
      </c>
      <c r="T375" s="547">
        <f ca="1">IF(Q375&gt;0,S375*100/Q375,0)</f>
        <v>32.924799999999998</v>
      </c>
      <c r="U375" s="547">
        <f ca="1">IF(R375&gt;0,S375*100/R375,0)</f>
        <v>32.924799999999998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20578</v>
      </c>
      <c r="T377" s="224">
        <f ca="1">IF(Q377&gt;0,S377*100/Q377,0)</f>
        <v>32.924799999999998</v>
      </c>
      <c r="U377" s="224">
        <f ca="1">IF(R377&gt;0,S377*100/R377,0)</f>
        <v>32.924799999999998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20578</v>
      </c>
      <c r="T378" s="224">
        <f ca="1">IF(Q378&gt;0,S378*100/Q378,0)</f>
        <v>32.924799999999998</v>
      </c>
      <c r="U378" s="224">
        <f ca="1">IF(R378&gt;0,S378*100/R378,0)</f>
        <v>32.924799999999998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IFERROR(__xludf.DUMMYFUNCTION("IMPORTRANGE(""https://docs.google.com/spreadsheets/d/1-uDff_7J0KD5mKrp0Vvzr7lt3OU09vwQwhkpOPPYv2Y/edit?usp=sharing"",""งบพรบ!IE22"")"),0)</f>
        <v>0</v>
      </c>
      <c r="M380" s="224">
        <f ca="1">IFERROR(__xludf.DUMMYFUNCTION("IMPORTRANGE(""https://docs.google.com/spreadsheets/d/1-uDff_7J0KD5mKrp0Vvzr7lt3OU09vwQwhkpOPPYv2Y/edit?usp=sharing"",""งบพรบ!IJ22"")"),0)</f>
        <v>0</v>
      </c>
      <c r="N380" s="224">
        <f ca="1">IFERROR(__xludf.DUMMYFUNCTION("IMPORTRANGE(""https://docs.google.com/spreadsheets/d/1-uDff_7J0KD5mKrp0Vvzr7lt3OU09vwQwhkpOPPYv2Y/edit?usp=sharing"",""งบพรบ!IL22"")"),0)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IFERROR(__xludf.DUMMYFUNCTION("IMPORTRANGE(""https://docs.google.com/spreadsheets/d/1ItG2mGa2ceCfYo0BwxsXqNm01IGEUdYcSSLTEv9YCik/edit?usp=sharing"",""เบิกจ่ายกองทุน!BW22"")"),62500)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IFERROR(__xludf.DUMMYFUNCTION("IMPORTRANGE(""https://docs.google.com/spreadsheets/d/1ItG2mGa2ceCfYo0BwxsXqNm01IGEUdYcSSLTEv9YCik/edit?usp=sharing"",""เบิกจ่ายกองทุน!BX22"")"),62500)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IFERROR(__xludf.DUMMYFUNCTION("IMPORTRANGE(""https://docs.google.com/spreadsheets/d/1ItG2mGa2ceCfYo0BwxsXqNm01IGEUdYcSSLTEv9YCik/edit?usp=sharing"",""เบิกจ่ายกองทุน!BY22"")"),20578)</f>
        <v>20578</v>
      </c>
      <c r="T380" s="224">
        <f ca="1">IF(Q380&gt;0,S380*100/Q380,0)</f>
        <v>32.924799999999998</v>
      </c>
      <c r="U380" s="224">
        <f ca="1">IF(R380&gt;0,S380*100/R380,0)</f>
        <v>32.924799999999998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IFERROR(__xludf.DUMMYFUNCTION("IMPORTRANGE(""https://docs.google.com/spreadsheets/d/1-uDff_7J0KD5mKrp0Vvzr7lt3OU09vwQwhkpOPPYv2Y/edit?usp=sharing"",""งบพรบ!IH22"")"),0)</f>
        <v>0</v>
      </c>
      <c r="M383" s="224">
        <f ca="1">IFERROR(__xludf.DUMMYFUNCTION("IMPORTRANGE(""https://docs.google.com/spreadsheets/d/1-uDff_7J0KD5mKrp0Vvzr7lt3OU09vwQwhkpOPPYv2Y/edit?usp=sharing"",""งบพรบ!IK22"")"),0)</f>
        <v>0</v>
      </c>
      <c r="N383" s="224">
        <f ca="1">IFERROR(__xludf.DUMMYFUNCTION("IMPORTRANGE(""https://docs.google.com/spreadsheets/d/1-uDff_7J0KD5mKrp0Vvzr7lt3OU09vwQwhkpOPPYv2Y/edit?usp=sharing"",""งบพรบ!IM22"")"),0)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IFERROR(__xludf.DUMMYFUNCTION("IMPORTRANGE(""https://docs.google.com/spreadsheets/d/1w5rwWK1o49a35cNtocGL0gxDwhFSTZUQu90BiH9_zqM/edit?usp=sharing"",""RTK!H22"")"),0)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IFERROR(__xludf.DUMMYFUNCTION("IMPORTRANGE(""https://docs.google.com/spreadsheets/d/1w5rwWK1o49a35cNtocGL0gxDwhFSTZUQu90BiH9_zqM/edit?usp=sharing"",""RTK!G22"")"),1000)</f>
        <v>1000</v>
      </c>
      <c r="J386" s="184">
        <f ca="1">IFERROR(__xludf.DUMMYFUNCTION("IMPORTRANGE(""https://docs.google.com/spreadsheets/d/1w5rwWK1o49a35cNtocGL0gxDwhFSTZUQu90BiH9_zqM/edit?usp=sharing"",""RTK!I22"")"),0)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IFERROR(__xludf.DUMMYFUNCTION("IMPORTRANGE(""https://docs.google.com/spreadsheets/d/1w5rwWK1o49a35cNtocGL0gxDwhFSTZUQu90BiH9_zqM/edit?usp=sharing"",""RTK!L22"")"),0)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IFERROR(__xludf.DUMMYFUNCTION("IMPORTRANGE(""https://docs.google.com/spreadsheets/d/1w5rwWK1o49a35cNtocGL0gxDwhFSTZUQu90BiH9_zqM/edit?usp=sharing"",""RTK!K22"")"),0)</f>
        <v>0</v>
      </c>
      <c r="J388" s="559">
        <f ca="1">IFERROR(__xludf.DUMMYFUNCTION("IMPORTRANGE(""https://docs.google.com/spreadsheets/d/1w5rwWK1o49a35cNtocGL0gxDwhFSTZUQu90BiH9_zqM/edit?usp=sharing"",""RTK!M22"")"),0)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IFERROR(__xludf.DUMMYFUNCTION("IMPORTRANGE(""https://docs.google.com/spreadsheets/d/1ItG2mGa2ceCfYo0BwxsXqNm01IGEUdYcSSLTEv9YCik/edit?usp=sharing"",""เบิกจ่ายกองทุน!CL22"")"),0)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IFERROR(__xludf.DUMMYFUNCTION("IMPORTRANGE(""https://docs.google.com/spreadsheets/d/1ItG2mGa2ceCfYo0BwxsXqNm01IGEUdYcSSLTEv9YCik/edit?usp=sharing"",""เบิกจ่ายกองทุน!CM22"")"),0)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IFERROR(__xludf.DUMMYFUNCTION("IMPORTRANGE(""https://docs.google.com/spreadsheets/d/1ItG2mGa2ceCfYo0BwxsXqNm01IGEUdYcSSLTEv9YCik/edit?usp=sharing"",""เบิกจ่ายกองทุน!CN22"")"),0)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11325</v>
      </c>
      <c r="J412" s="632">
        <f>J423</f>
        <v>11332</v>
      </c>
      <c r="K412" s="631">
        <f ca="1">IF(I412&gt;0,J412*100/I412,0)</f>
        <v>100.06181015452539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299610</v>
      </c>
      <c r="M413" s="547">
        <f ca="1">M414+M415</f>
        <v>379610</v>
      </c>
      <c r="N413" s="547">
        <f ca="1">N414+N415</f>
        <v>277260.56</v>
      </c>
      <c r="O413" s="547">
        <f ca="1">IF(L413&gt;0,N413*100/L413,0)</f>
        <v>92.54048930276025</v>
      </c>
      <c r="P413" s="547">
        <f ca="1">IF(M413&gt;0,N413*100/M413,0)</f>
        <v>73.038265588367011</v>
      </c>
      <c r="Q413" s="547">
        <f ca="1">Q414+Q415</f>
        <v>34470</v>
      </c>
      <c r="R413" s="547">
        <f ca="1">R414+R415</f>
        <v>34470</v>
      </c>
      <c r="S413" s="547">
        <f ca="1">S414+S415</f>
        <v>31400</v>
      </c>
      <c r="T413" s="547">
        <f ca="1">IF(Q413&gt;0,S413*100/Q413,0)</f>
        <v>91.093704670728172</v>
      </c>
      <c r="U413" s="547">
        <f ca="1">IF(R413&gt;0,S413*100/R413,0)</f>
        <v>91.093704670728172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299610</v>
      </c>
      <c r="M415" s="224">
        <f ca="1">M418+M421</f>
        <v>379610</v>
      </c>
      <c r="N415" s="224">
        <f ca="1">N418+N421</f>
        <v>277260.56</v>
      </c>
      <c r="O415" s="224">
        <f ca="1">IF(L415&gt;0,N415*100/L415,0)</f>
        <v>92.54048930276025</v>
      </c>
      <c r="P415" s="224">
        <f ca="1">IF(M415&gt;0,N415*100/M415,0)</f>
        <v>73.038265588367011</v>
      </c>
      <c r="Q415" s="224">
        <f ca="1">Q418+Q421</f>
        <v>34470</v>
      </c>
      <c r="R415" s="224">
        <f ca="1">R418+R421</f>
        <v>34470</v>
      </c>
      <c r="S415" s="224">
        <f ca="1">S418+S421</f>
        <v>31400</v>
      </c>
      <c r="T415" s="224">
        <f ca="1">IF(Q415&gt;0,S415*100/Q415,0)</f>
        <v>91.093704670728172</v>
      </c>
      <c r="U415" s="224">
        <f ca="1">IF(R415&gt;0,S415*100/R415,0)</f>
        <v>91.093704670728172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299610</v>
      </c>
      <c r="M416" s="224">
        <f ca="1">M417+M418</f>
        <v>379610</v>
      </c>
      <c r="N416" s="224">
        <f ca="1">N417+N418</f>
        <v>277260.56</v>
      </c>
      <c r="O416" s="224">
        <f ca="1">IF(L416&gt;0,N416*100/L416,0)</f>
        <v>92.54048930276025</v>
      </c>
      <c r="P416" s="224">
        <f ca="1">IF(M416&gt;0,N416*100/M416,0)</f>
        <v>73.038265588367011</v>
      </c>
      <c r="Q416" s="224">
        <f ca="1">Q417+Q418</f>
        <v>34470</v>
      </c>
      <c r="R416" s="224">
        <f ca="1">R417+R418</f>
        <v>34470</v>
      </c>
      <c r="S416" s="224">
        <f ca="1">S417+S418</f>
        <v>31400</v>
      </c>
      <c r="T416" s="224">
        <f ca="1">IF(Q416&gt;0,S416*100/Q416,0)</f>
        <v>91.093704670728172</v>
      </c>
      <c r="U416" s="224">
        <f ca="1">IF(R416&gt;0,S416*100/R416,0)</f>
        <v>91.093704670728172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IFERROR(__xludf.DUMMYFUNCTION("IMPORTRANGE(""https://docs.google.com/spreadsheets/d/1-uDff_7J0KD5mKrp0Vvzr7lt3OU09vwQwhkpOPPYv2Y/edit?usp=sharing"",""งบพรบ!IO22"")"),299610)</f>
        <v>299610</v>
      </c>
      <c r="M418" s="224">
        <f ca="1">IFERROR(__xludf.DUMMYFUNCTION("IMPORTRANGE(""https://docs.google.com/spreadsheets/d/1-uDff_7J0KD5mKrp0Vvzr7lt3OU09vwQwhkpOPPYv2Y/edit?usp=sharing"",""งบพรบ!IT22"")"),379610)</f>
        <v>379610</v>
      </c>
      <c r="N418" s="224">
        <f ca="1">IFERROR(__xludf.DUMMYFUNCTION("IMPORTRANGE(""https://docs.google.com/spreadsheets/d/1-uDff_7J0KD5mKrp0Vvzr7lt3OU09vwQwhkpOPPYv2Y/edit?usp=sharing"",""งบพรบ!IV22"")"),277260.56)</f>
        <v>277260.56</v>
      </c>
      <c r="O418" s="224">
        <f ca="1">IF(L418&gt;0,N418*100/L418,0)</f>
        <v>92.54048930276025</v>
      </c>
      <c r="P418" s="224">
        <f ca="1">IF(M418&gt;0,N418*100/M418,0)</f>
        <v>73.038265588367011</v>
      </c>
      <c r="Q418" s="224">
        <f ca="1">IFERROR(__xludf.DUMMYFUNCTION("IMPORTRANGE(""https://docs.google.com/spreadsheets/d/1ItG2mGa2ceCfYo0BwxsXqNm01IGEUdYcSSLTEv9YCik/edit?usp=sharing"",""เบิกจ่ายกองทุน!BZ22"")"),34470)</f>
        <v>34470</v>
      </c>
      <c r="R418" s="224">
        <f ca="1">IFERROR(__xludf.DUMMYFUNCTION("IMPORTRANGE(""https://docs.google.com/spreadsheets/d/1ItG2mGa2ceCfYo0BwxsXqNm01IGEUdYcSSLTEv9YCik/edit?usp=sharing"",""เบิกจ่ายกองทุน!CA22"")"),34470)</f>
        <v>34470</v>
      </c>
      <c r="S418" s="224">
        <f ca="1">IFERROR(__xludf.DUMMYFUNCTION("IMPORTRANGE(""https://docs.google.com/spreadsheets/d/1ItG2mGa2ceCfYo0BwxsXqNm01IGEUdYcSSLTEv9YCik/edit?usp=sharing"",""เบิกจ่ายกองทุน!CB22"")"),31400)</f>
        <v>31400</v>
      </c>
      <c r="T418" s="224">
        <f ca="1">IF(Q418&gt;0,S418*100/Q418,0)</f>
        <v>91.093704670728172</v>
      </c>
      <c r="U418" s="224">
        <f ca="1">IF(R418&gt;0,S418*100/R418,0)</f>
        <v>91.093704670728172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IFERROR(__xludf.DUMMYFUNCTION("IMPORTRANGE(""https://docs.google.com/spreadsheets/d/1-uDff_7J0KD5mKrp0Vvzr7lt3OU09vwQwhkpOPPYv2Y/edit?usp=sharing"",""งบพรบ!IR22"")"),0)</f>
        <v>0</v>
      </c>
      <c r="M421" s="224">
        <f ca="1">IFERROR(__xludf.DUMMYFUNCTION("IMPORTRANGE(""https://docs.google.com/spreadsheets/d/1-uDff_7J0KD5mKrp0Vvzr7lt3OU09vwQwhkpOPPYv2Y/edit?usp=sharing"",""งบพรบ!IU22"")"),0)</f>
        <v>0</v>
      </c>
      <c r="N421" s="224">
        <f ca="1">IFERROR(__xludf.DUMMYFUNCTION("IMPORTRANGE(""https://docs.google.com/spreadsheets/d/1-uDff_7J0KD5mKrp0Vvzr7lt3OU09vwQwhkpOPPYv2Y/edit?usp=sharing"",""งบพรบ!IW22"")"),0)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11325</v>
      </c>
      <c r="J423" s="653">
        <f>J440</f>
        <v>11332</v>
      </c>
      <c r="K423" s="578">
        <f ca="1">IF(I423&gt;0,J423*100/I423,0)</f>
        <v>100.06181015452539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IFERROR(__xludf.DUMMYFUNCTION("IMPORTRANGE(""https://docs.google.com/spreadsheets/d/1eHaY18a8A9IcSdp1K8H6x8fbOy06t2VsZHhMHf-1x7Y/edit?usp=sharing"",""แผน!HJ22"")"),11325)</f>
        <v>11325</v>
      </c>
      <c r="J424" s="650">
        <f>J426+J428+J430</f>
        <v>11333</v>
      </c>
      <c r="K424" s="547">
        <f ca="1">IF(I424&gt;0,J424*100/I424,0)</f>
        <v>100.07064017660043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IFERROR(__xludf.DUMMYFUNCTION("IMPORTRANGE(""https://docs.google.com/spreadsheets/d/1eHaY18a8A9IcSdp1K8H6x8fbOy06t2VsZHhMHf-1x7Y/edit?usp=sharing"",""แผน!HK22"")"),1138)</f>
        <v>1138</v>
      </c>
      <c r="J425" s="650">
        <f>J427+J429+J431</f>
        <v>1138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10197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1030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788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80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348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28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IFERROR(__xludf.DUMMYFUNCTION("IMPORTRANGE(""https://docs.google.com/spreadsheets/d/1eHaY18a8A9IcSdp1K8H6x8fbOy06t2VsZHhMHf-1x7Y/edit?usp=sharing"",""แผน!HJ22"")"),11325)</f>
        <v>11325</v>
      </c>
      <c r="J432" s="650">
        <f>J434+J436+J438</f>
        <v>11333</v>
      </c>
      <c r="K432" s="547">
        <f ca="1">IF(I432&gt;0,J432*100/I432,0)</f>
        <v>100.07064017660043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IFERROR(__xludf.DUMMYFUNCTION("IMPORTRANGE(""https://docs.google.com/spreadsheets/d/1eHaY18a8A9IcSdp1K8H6x8fbOy06t2VsZHhMHf-1x7Y/edit?usp=sharing"",""แผน!HK22"")"),1138)</f>
        <v>1138</v>
      </c>
      <c r="J433" s="650">
        <f>J435+J437+J439</f>
        <v>1138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10197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1030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788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80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348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28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IFERROR(__xludf.DUMMYFUNCTION("IMPORTRANGE(""https://docs.google.com/spreadsheets/d/1eHaY18a8A9IcSdp1K8H6x8fbOy06t2VsZHhMHf-1x7Y/edit?usp=sharing"",""แผน!HJ22"")"),11325)</f>
        <v>11325</v>
      </c>
      <c r="J440" s="650">
        <f>J442+J444+J446+J452+J454</f>
        <v>11332</v>
      </c>
      <c r="K440" s="547">
        <f ca="1">IF(I440&gt;0,J440*100/I440,0)</f>
        <v>100.06181015452539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IFERROR(__xludf.DUMMYFUNCTION("IMPORTRANGE(""https://docs.google.com/spreadsheets/d/1eHaY18a8A9IcSdp1K8H6x8fbOy06t2VsZHhMHf-1x7Y/edit?usp=sharing"",""แผน!HK22"")"),1138)</f>
        <v>1138</v>
      </c>
      <c r="J441" s="650">
        <f>J443+J445+J447+J453+J455</f>
        <v>1138</v>
      </c>
      <c r="K441" s="547">
        <f ca="1">IF(I441&gt;0,J441*100/I441,0)</f>
        <v>100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10197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1030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788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80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347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28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337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27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10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1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555.55999999999995</v>
      </c>
      <c r="J456" s="648">
        <f>J457</f>
        <v>200</v>
      </c>
      <c r="K456" s="578">
        <f ca="1">IF(I456&gt;0,J456*100/I456,0)</f>
        <v>35.999712002303987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IFERROR(__xludf.DUMMYFUNCTION("IMPORTRANGE(""https://docs.google.com/spreadsheets/d/1eHaY18a8A9IcSdp1K8H6x8fbOy06t2VsZHhMHf-1x7Y/edit?usp=sharing"",""แผน!HL22"")"),555.56)</f>
        <v>555.55999999999995</v>
      </c>
      <c r="J457" s="650">
        <f>J459+J467+J473</f>
        <v>200</v>
      </c>
      <c r="K457" s="547">
        <f ca="1">IF(I457&gt;0,J457*100/I457,0)</f>
        <v>35.999712002303987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IFERROR(__xludf.DUMMYFUNCTION("IMPORTRANGE(""https://docs.google.com/spreadsheets/d/1eHaY18a8A9IcSdp1K8H6x8fbOy06t2VsZHhMHf-1x7Y/edit?usp=sharing"",""แผน!HM22"")"),30)</f>
        <v>30</v>
      </c>
      <c r="J458" s="650">
        <f>J460+J468+J474</f>
        <v>11</v>
      </c>
      <c r="K458" s="547">
        <f ca="1">IF(I458&gt;0,J458*100/I458,0)</f>
        <v>36.666666666666664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119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8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119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8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27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1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27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54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2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IFERROR(__xludf.DUMMYFUNCTION("IMPORTRANGE(""https://docs.google.com/spreadsheets/d/1-uDff_7J0KD5mKrp0Vvzr7lt3OU09vwQwhkpOPPYv2Y/edit?usp=sharing"",""งบพรบ!HU22"")"),0)</f>
        <v>0</v>
      </c>
      <c r="M498" s="224">
        <f ca="1">IFERROR(__xludf.DUMMYFUNCTION("IMPORTRANGE(""https://docs.google.com/spreadsheets/d/1-uDff_7J0KD5mKrp0Vvzr7lt3OU09vwQwhkpOPPYv2Y/edit?usp=sharing"",""งบพรบ!HZ22"")"),0)</f>
        <v>0</v>
      </c>
      <c r="N498" s="224">
        <f ca="1">IFERROR(__xludf.DUMMYFUNCTION("IMPORTRANGE(""https://docs.google.com/spreadsheets/d/1-uDff_7J0KD5mKrp0Vvzr7lt3OU09vwQwhkpOPPYv2Y/edit?usp=sharing"",""งบพรบ!IB22"")"),0)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IFERROR(__xludf.DUMMYFUNCTION("IMPORTRANGE(""https://docs.google.com/spreadsheets/d/1ItG2mGa2ceCfYo0BwxsXqNm01IGEUdYcSSLTEv9YCik/edit?usp=sharing"",""เบิกจ่ายกองทุน!AD22"")"),0)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IFERROR(__xludf.DUMMYFUNCTION("IMPORTRANGE(""https://docs.google.com/spreadsheets/d/1ItG2mGa2ceCfYo0BwxsXqNm01IGEUdYcSSLTEv9YCik/edit?usp=sharing"",""เบิกจ่ายกองทุน!AE22"")"),0)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IFERROR(__xludf.DUMMYFUNCTION("IMPORTRANGE(""https://docs.google.com/spreadsheets/d/1ItG2mGa2ceCfYo0BwxsXqNm01IGEUdYcSSLTEv9YCik/edit?usp=sharing"",""เบิกจ่ายกองทุน!AF22"")"),0)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IFERROR(__xludf.DUMMYFUNCTION("IMPORTRANGE(""https://docs.google.com/spreadsheets/d/1-uDff_7J0KD5mKrp0Vvzr7lt3OU09vwQwhkpOPPYv2Y/edit?usp=sharing"",""งบพรบ!HX22"")"),0)</f>
        <v>0</v>
      </c>
      <c r="M501" s="224">
        <f ca="1">IFERROR(__xludf.DUMMYFUNCTION("IMPORTRANGE(""https://docs.google.com/spreadsheets/d/1-uDff_7J0KD5mKrp0Vvzr7lt3OU09vwQwhkpOPPYv2Y/edit?usp=sharing"",""งบพรบ!IA22"")"),0)</f>
        <v>0</v>
      </c>
      <c r="N501" s="224">
        <f ca="1">IFERROR(__xludf.DUMMYFUNCTION("IMPORTRANGE(""https://docs.google.com/spreadsheets/d/1-uDff_7J0KD5mKrp0Vvzr7lt3OU09vwQwhkpOPPYv2Y/edit?usp=sharing"",""งบพรบ!IC22"")"),0)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IFERROR(__xludf.DUMMYFUNCTION("IMPORTRANGE(""https://docs.google.com/spreadsheets/d/1eHaY18a8A9IcSdp1K8H6x8fbOy06t2VsZHhMHf-1x7Y/edit?usp=sharing"",""แผน!GX22"")"),0)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IFERROR(__xludf.DUMMYFUNCTION("IMPORTRANGE(""https://docs.google.com/spreadsheets/d/1eHaY18a8A9IcSdp1K8H6x8fbOy06t2VsZHhMHf-1x7Y/edit?usp=sharing"",""แผน!GY22"")"),0)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IFERROR(__xludf.DUMMYFUNCTION("IMPORTRANGE(""https://docs.google.com/spreadsheets/d/1eHaY18a8A9IcSdp1K8H6x8fbOy06t2VsZHhMHf-1x7Y/edit?usp=sharing"",""แผน!GZ22"")"),0)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IFERROR(__xludf.DUMMYFUNCTION("IMPORTRANGE(""https://docs.google.com/spreadsheets/d/1eHaY18a8A9IcSdp1K8H6x8fbOy06t2VsZHhMHf-1x7Y/edit?usp=sharing"",""แผน!HA22"")"),0)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IFERROR(__xludf.DUMMYFUNCTION("IMPORTRANGE(""https://docs.google.com/spreadsheets/d/1eHaY18a8A9IcSdp1K8H6x8fbOy06t2VsZHhMHf-1x7Y/edit?usp=sharing"",""แผน!HB22"")"),0)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IFERROR(__xludf.DUMMYFUNCTION("IMPORTRANGE(""https://docs.google.com/spreadsheets/d/1eHaY18a8A9IcSdp1K8H6x8fbOy06t2VsZHhMHf-1x7Y/edit?usp=sharing"",""แผน!HC22"")"),0)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IFERROR(__xludf.DUMMYFUNCTION("IMPORTRANGE(""https://docs.google.com/spreadsheets/d/1-uDff_7J0KD5mKrp0Vvzr7lt3OU09vwQwhkpOPPYv2Y/edit?usp=sharing"",""งบพรบ!FM22"")"),0)</f>
        <v>0</v>
      </c>
      <c r="M518" s="224">
        <f ca="1">IFERROR(__xludf.DUMMYFUNCTION("IMPORTRANGE(""https://docs.google.com/spreadsheets/d/1-uDff_7J0KD5mKrp0Vvzr7lt3OU09vwQwhkpOPPYv2Y/edit?usp=sharing"",""งบพรบ!FR22"")"),0)</f>
        <v>0</v>
      </c>
      <c r="N518" s="224">
        <f ca="1">IFERROR(__xludf.DUMMYFUNCTION("IMPORTRANGE(""https://docs.google.com/spreadsheets/d/1-uDff_7J0KD5mKrp0Vvzr7lt3OU09vwQwhkpOPPYv2Y/edit?usp=sharing"",""งบพรบ!FT22"")"),0)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IFERROR(__xludf.DUMMYFUNCTION("IMPORTRANGE(""https://docs.google.com/spreadsheets/d/1-uDff_7J0KD5mKrp0Vvzr7lt3OU09vwQwhkpOPPYv2Y/edit?usp=sharing"",""งบพรบ!FP22"")"),0)</f>
        <v>0</v>
      </c>
      <c r="M521" s="224">
        <f ca="1">IFERROR(__xludf.DUMMYFUNCTION("IMPORTRANGE(""https://docs.google.com/spreadsheets/d/1-uDff_7J0KD5mKrp0Vvzr7lt3OU09vwQwhkpOPPYv2Y/edit?usp=sharing"",""งบพรบ!FS22"")"),0)</f>
        <v>0</v>
      </c>
      <c r="N521" s="224">
        <f ca="1">IFERROR(__xludf.DUMMYFUNCTION("IMPORTRANGE(""https://docs.google.com/spreadsheets/d/1-uDff_7J0KD5mKrp0Vvzr7lt3OU09vwQwhkpOPPYv2Y/edit?usp=sharing"",""งบพรบ!FU22"")"),0)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IFERROR(__xludf.DUMMYFUNCTION("IMPORTRANGE(""https://docs.google.com/spreadsheets/d/1-uDff_7J0KD5mKrp0Vvzr7lt3OU09vwQwhkpOPPYv2Y/edit?usp=sharing"",""งบพรบ!FW22"")"),0)</f>
        <v>0</v>
      </c>
      <c r="M539" s="224">
        <f ca="1">IFERROR(__xludf.DUMMYFUNCTION("IMPORTRANGE(""https://docs.google.com/spreadsheets/d/1-uDff_7J0KD5mKrp0Vvzr7lt3OU09vwQwhkpOPPYv2Y/edit?usp=sharing"",""งบพรบ!GB22"")"),0)</f>
        <v>0</v>
      </c>
      <c r="N539" s="224">
        <f ca="1">IFERROR(__xludf.DUMMYFUNCTION("IMPORTRANGE(""https://docs.google.com/spreadsheets/d/1-uDff_7J0KD5mKrp0Vvzr7lt3OU09vwQwhkpOPPYv2Y/edit?usp=sharing"",""งบพรบ!GD22"")"),0)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IFERROR(__xludf.DUMMYFUNCTION("IMPORTRANGE(""https://docs.google.com/spreadsheets/d/1-uDff_7J0KD5mKrp0Vvzr7lt3OU09vwQwhkpOPPYv2Y/edit?usp=sharing"",""งบพรบ!FZ22"")"),0)</f>
        <v>0</v>
      </c>
      <c r="M542" s="224">
        <f ca="1">IFERROR(__xludf.DUMMYFUNCTION("IMPORTRANGE(""https://docs.google.com/spreadsheets/d/1-uDff_7J0KD5mKrp0Vvzr7lt3OU09vwQwhkpOPPYv2Y/edit?usp=sharing"",""งบพรบ!GC22"")"),0)</f>
        <v>0</v>
      </c>
      <c r="N542" s="224">
        <f ca="1">IFERROR(__xludf.DUMMYFUNCTION("IMPORTRANGE(""https://docs.google.com/spreadsheets/d/1-uDff_7J0KD5mKrp0Vvzr7lt3OU09vwQwhkpOPPYv2Y/edit?usp=sharing"",""งบพรบ!GE22"")"),0)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IFERROR(__xludf.DUMMYFUNCTION("IMPORTRANGE(""https://docs.google.com/spreadsheets/d/1-uDff_7J0KD5mKrp0Vvzr7lt3OU09vwQwhkpOPPYv2Y/edit?usp=sharing"",""งบพรบ!GG22"")"),0)</f>
        <v>0</v>
      </c>
      <c r="M560" s="224">
        <f ca="1">IFERROR(__xludf.DUMMYFUNCTION("IMPORTRANGE(""https://docs.google.com/spreadsheets/d/1-uDff_7J0KD5mKrp0Vvzr7lt3OU09vwQwhkpOPPYv2Y/edit?usp=sharing"",""งบพรบ!GL22"")"),0)</f>
        <v>0</v>
      </c>
      <c r="N560" s="224">
        <f ca="1">IFERROR(__xludf.DUMMYFUNCTION("IMPORTRANGE(""https://docs.google.com/spreadsheets/d/1-uDff_7J0KD5mKrp0Vvzr7lt3OU09vwQwhkpOPPYv2Y/edit?usp=sharing"",""งบพรบ!GN22"")"),0)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IFERROR(__xludf.DUMMYFUNCTION("IMPORTRANGE(""https://docs.google.com/spreadsheets/d/1-uDff_7J0KD5mKrp0Vvzr7lt3OU09vwQwhkpOPPYv2Y/edit?usp=sharing"",""งบพรบ!GJ22"")"),0)</f>
        <v>0</v>
      </c>
      <c r="M563" s="224">
        <f ca="1">IFERROR(__xludf.DUMMYFUNCTION("IMPORTRANGE(""https://docs.google.com/spreadsheets/d/1-uDff_7J0KD5mKrp0Vvzr7lt3OU09vwQwhkpOPPYv2Y/edit?usp=sharing"",""งบพรบ!GM22"")"),0)</f>
        <v>0</v>
      </c>
      <c r="N563" s="224">
        <f ca="1">IFERROR(__xludf.DUMMYFUNCTION("IMPORTRANGE(""https://docs.google.com/spreadsheets/d/1-uDff_7J0KD5mKrp0Vvzr7lt3OU09vwQwhkpOPPYv2Y/edit?usp=sharing"",""งบพรบ!GO22"")"),0)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IFERROR(__xludf.DUMMYFUNCTION("IMPORTRANGE(""https://docs.google.com/spreadsheets/d/1-uDff_7J0KD5mKrp0Vvzr7lt3OU09vwQwhkpOPPYv2Y/edit?usp=sharing"",""งบพรบ!GQ22"")"),0)</f>
        <v>0</v>
      </c>
      <c r="M581" s="224">
        <f ca="1">IFERROR(__xludf.DUMMYFUNCTION("IMPORTRANGE(""https://docs.google.com/spreadsheets/d/1-uDff_7J0KD5mKrp0Vvzr7lt3OU09vwQwhkpOPPYv2Y/edit?usp=sharing"",""งบพรบ!GV22"")"),0)</f>
        <v>0</v>
      </c>
      <c r="N581" s="224">
        <f ca="1">IFERROR(__xludf.DUMMYFUNCTION("IMPORTRANGE(""https://docs.google.com/spreadsheets/d/1-uDff_7J0KD5mKrp0Vvzr7lt3OU09vwQwhkpOPPYv2Y/edit?usp=sharing"",""งบพรบ!GX22"")"),0)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IFERROR(__xludf.DUMMYFUNCTION("IMPORTRANGE(""https://docs.google.com/spreadsheets/d/1-uDff_7J0KD5mKrp0Vvzr7lt3OU09vwQwhkpOPPYv2Y/edit?usp=sharing"",""งบพรบ!GT22"")"),0)</f>
        <v>0</v>
      </c>
      <c r="M584" s="224">
        <f ca="1">IFERROR(__xludf.DUMMYFUNCTION("IMPORTRANGE(""https://docs.google.com/spreadsheets/d/1-uDff_7J0KD5mKrp0Vvzr7lt3OU09vwQwhkpOPPYv2Y/edit?usp=sharing"",""งบพรบ!GW22"")"),0)</f>
        <v>0</v>
      </c>
      <c r="N584" s="224">
        <f ca="1">IFERROR(__xludf.DUMMYFUNCTION("IMPORTRANGE(""https://docs.google.com/spreadsheets/d/1-uDff_7J0KD5mKrp0Vvzr7lt3OU09vwQwhkpOPPYv2Y/edit?usp=sharing"",""งบพรบ!GY22"")"),0)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IFERROR(__xludf.DUMMYFUNCTION("IMPORTRANGE(""https://docs.google.com/spreadsheets/d/1-uDff_7J0KD5mKrp0Vvzr7lt3OU09vwQwhkpOPPYv2Y/edit?usp=sharing"",""งบพรบ!HK22"")"),0)</f>
        <v>0</v>
      </c>
      <c r="M604" s="224">
        <f ca="1">IFERROR(__xludf.DUMMYFUNCTION("IMPORTRANGE(""https://docs.google.com/spreadsheets/d/1-uDff_7J0KD5mKrp0Vvzr7lt3OU09vwQwhkpOPPYv2Y/edit?usp=sharing"",""งบพรบ!HP22"")"),0)</f>
        <v>0</v>
      </c>
      <c r="N604" s="224">
        <f ca="1">IFERROR(__xludf.DUMMYFUNCTION("IMPORTRANGE(""https://docs.google.com/spreadsheets/d/1-uDff_7J0KD5mKrp0Vvzr7lt3OU09vwQwhkpOPPYv2Y/edit?usp=sharing"",""งบพรบ!HR22"")"),0)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IFERROR(__xludf.DUMMYFUNCTION("IMPORTRANGE(""https://docs.google.com/spreadsheets/d/1ItG2mGa2ceCfYo0BwxsXqNm01IGEUdYcSSLTEv9YCik/edit?usp=sharing"",""เบิกจ่ายกองทุน!AV22"")"),0)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IFERROR(__xludf.DUMMYFUNCTION("IMPORTRANGE(""https://docs.google.com/spreadsheets/d/1ItG2mGa2ceCfYo0BwxsXqNm01IGEUdYcSSLTEv9YCik/edit?usp=sharing"",""เบิกจ่ายกองทุน!AW22"")"),0)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IFERROR(__xludf.DUMMYFUNCTION("IMPORTRANGE(""https://docs.google.com/spreadsheets/d/1ItG2mGa2ceCfYo0BwxsXqNm01IGEUdYcSSLTEv9YCik/edit?usp=sharing"",""เบิกจ่ายกองทุน!AX22"")"),0)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IFERROR(__xludf.DUMMYFUNCTION("IMPORTRANGE(""https://docs.google.com/spreadsheets/d/1-uDff_7J0KD5mKrp0Vvzr7lt3OU09vwQwhkpOPPYv2Y/edit?usp=sharing"",""งบพรบ!HN22"")"),0)</f>
        <v>0</v>
      </c>
      <c r="M607" s="224">
        <f ca="1">IFERROR(__xludf.DUMMYFUNCTION("IMPORTRANGE(""https://docs.google.com/spreadsheets/d/1-uDff_7J0KD5mKrp0Vvzr7lt3OU09vwQwhkpOPPYv2Y/edit?usp=sharing"",""งบพรบ!HQ22"")"),0)</f>
        <v>0</v>
      </c>
      <c r="N607" s="224">
        <f ca="1">IFERROR(__xludf.DUMMYFUNCTION("IMPORTRANGE(""https://docs.google.com/spreadsheets/d/1-uDff_7J0KD5mKrp0Vvzr7lt3OU09vwQwhkpOPPYv2Y/edit?usp=sharing"",""งบพรบ!HS22"")"),0)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IFERROR(__xludf.DUMMYFUNCTION("IMPORTRANGE(""https://docs.google.com/spreadsheets/d/1ItG2mGa2ceCfYo0BwxsXqNm01IGEUdYcSSLTEv9YCik/edit?usp=sharing"",""เบิกจ่ายกองทุน!AY22"")"),0)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IFERROR(__xludf.DUMMYFUNCTION("IMPORTRANGE(""https://docs.google.com/spreadsheets/d/1ItG2mGa2ceCfYo0BwxsXqNm01IGEUdYcSSLTEv9YCik/edit?usp=sharing"",""เบิกจ่ายกองทุน!AZ22"")"),0)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IFERROR(__xludf.DUMMYFUNCTION("IMPORTRANGE(""https://docs.google.com/spreadsheets/d/1ItG2mGa2ceCfYo0BwxsXqNm01IGEUdYcSSLTEv9YCik/edit?usp=sharing"",""เบิกจ่ายกองทุน!BA22"")"),0)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1480</v>
      </c>
      <c r="T616" s="547">
        <f ca="1">IF(Q616&gt;0,S616*100/Q616,0)</f>
        <v>22.007434944237918</v>
      </c>
      <c r="U616" s="547">
        <f ca="1">IF(R616&gt;0,S616*100/R616,0)</f>
        <v>22.007434944237918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1480</v>
      </c>
      <c r="T618" s="224">
        <f ca="1">IF(Q618&gt;0,S618*100/Q618,0)</f>
        <v>22.007434944237918</v>
      </c>
      <c r="U618" s="224">
        <f ca="1">IF(R618&gt;0,S618*100/R618,0)</f>
        <v>22.007434944237918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1480</v>
      </c>
      <c r="T619" s="224">
        <f ca="1">IF(Q619&gt;0,S619*100/Q619,0)</f>
        <v>22.007434944237918</v>
      </c>
      <c r="U619" s="224">
        <f ca="1">IF(R619&gt;0,S619*100/R619,0)</f>
        <v>22.007434944237918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IFERROR(__xludf.DUMMYFUNCTION("IMPORTRANGE(""https://docs.google.com/spreadsheets/d/1ItG2mGa2ceCfYo0BwxsXqNm01IGEUdYcSSLTEv9YCik/edit?usp=sharing"",""เบิกจ่ายกองทุน!F22"")"),6725)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IFERROR(__xludf.DUMMYFUNCTION("IMPORTRANGE(""https://docs.google.com/spreadsheets/d/1ItG2mGa2ceCfYo0BwxsXqNm01IGEUdYcSSLTEv9YCik/edit?usp=sharing"",""เบิกจ่ายกองทุน!G22"")"),6725)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IFERROR(__xludf.DUMMYFUNCTION("IMPORTRANGE(""https://docs.google.com/spreadsheets/d/1ItG2mGa2ceCfYo0BwxsXqNm01IGEUdYcSSLTEv9YCik/edit?usp=sharing"",""เบิกจ่ายกองทุน!H22"")"),1480)</f>
        <v>1480</v>
      </c>
      <c r="T621" s="224">
        <f ca="1">IF(Q621&gt;0,S621*100/Q621,0)</f>
        <v>22.007434944237918</v>
      </c>
      <c r="U621" s="224">
        <f ca="1">IF(R621&gt;0,S621*100/R621,0)</f>
        <v>22.007434944237918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IFERROR(__xludf.DUMMYFUNCTION("IMPORTRANGE(""https://docs.google.com/spreadsheets/d/1eHaY18a8A9IcSdp1K8H6x8fbOy06t2VsZHhMHf-1x7Y/edit?usp=sharing"",""แผน!ID22"")"),50)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IFERROR(__xludf.DUMMYFUNCTION("IMPORTRANGE(""https://docs.google.com/spreadsheets/d/1eHaY18a8A9IcSdp1K8H6x8fbOy06t2VsZHhMHf-1x7Y/edit?usp=sharing"",""แผน!IC22"")"),0)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IFERROR(__xludf.DUMMYFUNCTION("IMPORTRANGE(""https://docs.google.com/spreadsheets/d/1eHaY18a8A9IcSdp1K8H6x8fbOy06t2VsZHhMHf-1x7Y/edit?usp=sharing"",""แผน!IC22"")"),0)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171</v>
      </c>
      <c r="K629" s="224">
        <f ca="1">IF(I$626&gt;0,J629*100/I$626,0)</f>
        <v>342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IFERROR(__xludf.DUMMYFUNCTION("IMPORTRANGE(""https://docs.google.com/spreadsheets/d/1eHaY18a8A9IcSdp1K8H6x8fbOy06t2VsZHhMHf-1x7Y/edit?usp=sharing"",""แผน!IE22"")"),0)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IFERROR(__xludf.DUMMYFUNCTION("IMPORTRANGE(""https://docs.google.com/spreadsheets/d/1ItG2mGa2ceCfYo0BwxsXqNm01IGEUdYcSSLTEv9YCik/edit?usp=sharing"",""เบิกจ่ายกองทุน!I22"")"),0)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IFERROR(__xludf.DUMMYFUNCTION("IMPORTRANGE(""https://docs.google.com/spreadsheets/d/1ItG2mGa2ceCfYo0BwxsXqNm01IGEUdYcSSLTEv9YCik/edit?usp=sharing"",""เบิกจ่ายกองทุน!J22"")"),0)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IFERROR(__xludf.DUMMYFUNCTION("IMPORTRANGE(""https://docs.google.com/spreadsheets/d/1ItG2mGa2ceCfYo0BwxsXqNm01IGEUdYcSSLTEv9YCik/edit?usp=sharing"",""เบิกจ่ายกองทุน!K22"")"),0)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IFERROR(__xludf.DUMMYFUNCTION("IMPORTRANGE(""https://docs.google.com/spreadsheets/d/1eHaY18a8A9IcSdp1K8H6x8fbOy06t2VsZHhMHf-1x7Y/edit?usp=sharing"",""แผน!IF22"")"),0)</f>
        <v>0</v>
      </c>
      <c r="J652" s="184">
        <f ca="1">IFERROR(__xludf.DUMMYFUNCTION("IMPORTRANGE(""https://docs.google.com/spreadsheets/d/1tdoBKaGub7dwA3U6UFTqxio9LNnvDCQjHKmttSEBsFQ/edit?usp=sharing"",""จัดที่ดิน!AU22"")"),0)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IFERROR(__xludf.DUMMYFUNCTION("IMPORTRANGE(""https://docs.google.com/spreadsheets/d/1eHaY18a8A9IcSdp1K8H6x8fbOy06t2VsZHhMHf-1x7Y/edit?usp=sharing"",""แผน!IG22"")"),0)</f>
        <v>0</v>
      </c>
      <c r="J653" s="184">
        <f ca="1">IFERROR(__xludf.DUMMYFUNCTION("IMPORTRANGE(""https://docs.google.com/spreadsheets/d/1tdoBKaGub7dwA3U6UFTqxio9LNnvDCQjHKmttSEBsFQ/edit?usp=sharing"",""จัดที่ดิน!AW22"")"),0)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IFERROR(__xludf.DUMMYFUNCTION("IMPORTRANGE(""https://docs.google.com/spreadsheets/d/1eHaY18a8A9IcSdp1K8H6x8fbOy06t2VsZHhMHf-1x7Y/edit?usp=sharing"",""แผน!IH22"")"),0)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IFERROR(__xludf.DUMMYFUNCTION("IMPORTRANGE(""https://docs.google.com/spreadsheets/d/1eHaY18a8A9IcSdp1K8H6x8fbOy06t2VsZHhMHf-1x7Y/edit?usp=sharing"",""แผน!II22"")"),0)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IFERROR(__xludf.DUMMYFUNCTION("IMPORTRANGE(""https://docs.google.com/spreadsheets/d/1eHaY18a8A9IcSdp1K8H6x8fbOy06t2VsZHhMHf-1x7Y/edit?usp=sharing"",""แผน!IJ22"")"),0)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IFERROR(__xludf.DUMMYFUNCTION("IMPORTRANGE(""https://docs.google.com/spreadsheets/d/1eHaY18a8A9IcSdp1K8H6x8fbOy06t2VsZHhMHf-1x7Y/edit?usp=sharing"",""แผน!IK22"")"),0)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IFERROR(__xludf.DUMMYFUNCTION("IMPORTRANGE(""https://docs.google.com/spreadsheets/d/1tdoBKaGub7dwA3U6UFTqxio9LNnvDCQjHKmttSEBsFQ/edit?usp=sharing"",""จัดที่ดิน!AY22"")"),0)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IFERROR(__xludf.DUMMYFUNCTION("IMPORTRANGE(""https://docs.google.com/spreadsheets/d/1tdoBKaGub7dwA3U6UFTqxio9LNnvDCQjHKmttSEBsFQ/edit?usp=sharing"",""จัดที่ดิน!AZ22"")"),0)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IFERROR(__xludf.DUMMYFUNCTION("IMPORTRANGE(""https://docs.google.com/spreadsheets/d/1eHaY18a8A9IcSdp1K8H6x8fbOy06t2VsZHhMHf-1x7Y/edit?usp=sharing"",""แผน!IL22"")"),0)</f>
        <v>0</v>
      </c>
      <c r="J673" s="184">
        <f ca="1">IFERROR(__xludf.DUMMYFUNCTION("IMPORTRANGE(""https://docs.google.com/spreadsheets/d/1tdoBKaGub7dwA3U6UFTqxio9LNnvDCQjHKmttSEBsFQ/edit?usp=sharing"",""จัดที่ดิน!BA22"")"),0)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IFERROR(__xludf.DUMMYFUNCTION("IMPORTRANGE(""https://docs.google.com/spreadsheets/d/1eHaY18a8A9IcSdp1K8H6x8fbOy06t2VsZHhMHf-1x7Y/edit?usp=sharing"",""แผน!IM22"")"),0)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IFERROR(__xludf.DUMMYFUNCTION("IMPORTRANGE(""https://docs.google.com/spreadsheets/d/1eHaY18a8A9IcSdp1K8H6x8fbOy06t2VsZHhMHf-1x7Y/edit?usp=sharing"",""แผน!IN22"")"),0)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IFERROR(__xludf.DUMMYFUNCTION("IMPORTRANGE(""https://docs.google.com/spreadsheets/d/1eHaY18a8A9IcSdp1K8H6x8fbOy06t2VsZHhMHf-1x7Y/edit?usp=sharing"",""แผน!IO22"")"),0)</f>
        <v>0</v>
      </c>
      <c r="J676" s="184">
        <f ca="1">IFERROR(__xludf.DUMMYFUNCTION("IMPORTRANGE(""https://docs.google.com/spreadsheets/d/1tdoBKaGub7dwA3U6UFTqxio9LNnvDCQjHKmttSEBsFQ/edit?usp=sharing"",""จัดที่ดิน!BF22"")"),0)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IFERROR(__xludf.DUMMYFUNCTION("IMPORTRANGE(""https://docs.google.com/spreadsheets/d/1tdoBKaGub7dwA3U6UFTqxio9LNnvDCQjHKmttSEBsFQ/edit?usp=sharing"",""จัดที่ดิน!BG22"")"),0)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IFERROR(__xludf.DUMMYFUNCTION("IMPORTRANGE(""https://docs.google.com/spreadsheets/d/1eHaY18a8A9IcSdp1K8H6x8fbOy06t2VsZHhMHf-1x7Y/edit?usp=sharing"",""แผน!IP22"")"),0)</f>
        <v>0</v>
      </c>
      <c r="J678" s="184">
        <f ca="1">IFERROR(__xludf.DUMMYFUNCTION("IMPORTRANGE(""https://docs.google.com/spreadsheets/d/1tdoBKaGub7dwA3U6UFTqxio9LNnvDCQjHKmttSEBsFQ/edit?usp=sharing"",""จัดที่ดิน!BH22"")"),0)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IFERROR(__xludf.DUMMYFUNCTION("IMPORTRANGE(""https://docs.google.com/spreadsheets/d/1eHaY18a8A9IcSdp1K8H6x8fbOy06t2VsZHhMHf-1x7Y/edit?usp=sharing"",""แผน!IQ22"")"),0)</f>
        <v>0</v>
      </c>
      <c r="J679" s="184">
        <f ca="1">IFERROR(__xludf.DUMMYFUNCTION("IMPORTRANGE(""https://docs.google.com/spreadsheets/d/1tdoBKaGub7dwA3U6UFTqxio9LNnvDCQjHKmttSEBsFQ/edit?usp=sharing"",""จัดที่ดิน!BK22"")"),0)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IFERROR(__xludf.DUMMYFUNCTION("IMPORTRANGE(""https://docs.google.com/spreadsheets/d/1tdoBKaGub7dwA3U6UFTqxio9LNnvDCQjHKmttSEBsFQ/edit?usp=sharing"",""จัดที่ดิน!BL22"")"),0)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IFERROR(__xludf.DUMMYFUNCTION("IMPORTRANGE(""https://docs.google.com/spreadsheets/d/1eHaY18a8A9IcSdp1K8H6x8fbOy06t2VsZHhMHf-1x7Y/edit?usp=sharing"",""แผน!IR22"")"),0)</f>
        <v>0</v>
      </c>
      <c r="J681" s="184">
        <f ca="1">IFERROR(__xludf.DUMMYFUNCTION("IMPORTRANGE(""https://docs.google.com/spreadsheets/d/1tdoBKaGub7dwA3U6UFTqxio9LNnvDCQjHKmttSEBsFQ/edit?usp=sharing"",""จัดที่ดิน!BM22"")"),0)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IFERROR(__xludf.DUMMYFUNCTION("IMPORTRANGE(""https://docs.google.com/spreadsheets/d/1eHaY18a8A9IcSdp1K8H6x8fbOy06t2VsZHhMHf-1x7Y/edit?usp=sharing"",""แผน!IS22"")"),0)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93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206850</v>
      </c>
      <c r="R690" s="547">
        <f ca="1">R691+R692</f>
        <v>206850</v>
      </c>
      <c r="S690" s="547">
        <f ca="1">S691+S692</f>
        <v>131625</v>
      </c>
      <c r="T690" s="547">
        <f ca="1">IF(Q690&gt;0,S690*100/Q690,0)</f>
        <v>63.633067440174038</v>
      </c>
      <c r="U690" s="547">
        <f ca="1">IF(R690&gt;0,S690*100/R690,0)</f>
        <v>63.633067440174038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206850</v>
      </c>
      <c r="R692" s="224">
        <f ca="1">R695+R698</f>
        <v>206850</v>
      </c>
      <c r="S692" s="224">
        <f ca="1">S695+S698</f>
        <v>131625</v>
      </c>
      <c r="T692" s="224">
        <f ca="1">IF(Q692&gt;0,S692*100/Q692,0)</f>
        <v>63.633067440174038</v>
      </c>
      <c r="U692" s="224">
        <f ca="1">IF(R692&gt;0,S692*100/R692,0)</f>
        <v>63.633067440174038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206850</v>
      </c>
      <c r="R693" s="224">
        <f ca="1">R694+R695</f>
        <v>206850</v>
      </c>
      <c r="S693" s="224">
        <f ca="1">S694+S695</f>
        <v>131625</v>
      </c>
      <c r="T693" s="224">
        <f ca="1">IF(Q693&gt;0,S693*100/Q693,0)</f>
        <v>63.633067440174038</v>
      </c>
      <c r="U693" s="224">
        <f ca="1">IF(R693&gt;0,S693*100/R693,0)</f>
        <v>63.633067440174038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5" s="224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5" s="224">
        <f ca="1">IFERROR(__xludf.DUMMYFUNCTION("IMPORTRANGE(""https://docs.google.com/spreadsheets/d/1ItG2mGa2ceCfYo0BwxsXqNm01IGEUdYcSSLTEv9YCik/edit?usp=sharing"",""เบิกจ่ายกองทุน!N22"")"),131625)</f>
        <v>131625</v>
      </c>
      <c r="T695" s="224">
        <f ca="1">IF(Q695&gt;0,S695*100/Q695,0)</f>
        <v>63.633067440174038</v>
      </c>
      <c r="U695" s="224">
        <f ca="1">IF(R695&gt;0,S695*100/R695,0)</f>
        <v>63.633067440174038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IFERROR(__xludf.DUMMYFUNCTION("IMPORTRANGE(""https://docs.google.com/spreadsheets/d/1eHaY18a8A9IcSdp1K8H6x8fbOy06t2VsZHhMHf-1x7Y/edit?usp=sharing"",""แผน!LC22"")"),0)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98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IFERROR(__xludf.DUMMYFUNCTION("IMPORTRANGE(""https://docs.google.com/spreadsheets/d/1eHaY18a8A9IcSdp1K8H6x8fbOy06t2VsZHhMHf-1x7Y/edit?usp=sharing"",""แผน!LJ22"")"),93)</f>
        <v>93</v>
      </c>
      <c r="J703" s="184">
        <f ca="1">IFERROR(__xludf.DUMMYFUNCTION("IMPORTRANGE(""https://docs.google.com/spreadsheets/d/1tdoBKaGub7dwA3U6UFTqxio9LNnvDCQjHKmttSEBsFQ/edit?usp=sharing"",""จัดที่ดิน!AP22"")"),0)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IFERROR(__xludf.DUMMYFUNCTION("IMPORTRANGE(""https://docs.google.com/spreadsheets/d/1tdoBKaGub7dwA3U6UFTqxio9LNnvDCQjHKmttSEBsFQ/edit?usp=sharing"",""จัดที่ดิน!AQ22"")"),0)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IFERROR(__xludf.DUMMYFUNCTION("IMPORTRANGE(""https://docs.google.com/spreadsheets/d/1eHaY18a8A9IcSdp1K8H6x8fbOy06t2VsZHhMHf-1x7Y/edit?usp=sharing"",""แผน!LK22"")"),5)</f>
        <v>5</v>
      </c>
      <c r="J705" s="184">
        <f ca="1">IFERROR(__xludf.DUMMYFUNCTION("IMPORTRANGE(""https://docs.google.com/spreadsheets/d/1tdoBKaGub7dwA3U6UFTqxio9LNnvDCQjHKmttSEBsFQ/edit?usp=sharing"",""จัดที่ดิน!AR22"")"),0)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IFERROR(__xludf.DUMMYFUNCTION("IMPORTRANGE(""https://docs.google.com/spreadsheets/d/1tdoBKaGub7dwA3U6UFTqxio9LNnvDCQjHKmttSEBsFQ/edit?usp=sharing"",""จัดที่ดิน!AS22"")"),0)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IFERROR(__xludf.DUMMYFUNCTION("IMPORTRANGE(""https://docs.google.com/spreadsheets/d/1eHaY18a8A9IcSdp1K8H6x8fbOy06t2VsZHhMHf-1x7Y/edit?usp=sharing"",""แผน!LJ22"")"),93)</f>
        <v>93</v>
      </c>
      <c r="J707" s="184">
        <f ca="1">IFERROR(__xludf.DUMMYFUNCTION("IMPORTRANGE(""https://docs.google.com/spreadsheets/d/1tdoBKaGub7dwA3U6UFTqxio9LNnvDCQjHKmttSEBsFQ/edit?usp=sharing"",""จัดที่ดิน!BN22"")"),0)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IFERROR(__xludf.DUMMYFUNCTION("IMPORTRANGE(""https://docs.google.com/spreadsheets/d/1tdoBKaGub7dwA3U6UFTqxio9LNnvDCQjHKmttSEBsFQ/edit?usp=sharing"",""จัดที่ดิน!BO22"")"),0)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IFERROR(__xludf.DUMMYFUNCTION("IMPORTRANGE(""https://docs.google.com/spreadsheets/d/1eHaY18a8A9IcSdp1K8H6x8fbOy06t2VsZHhMHf-1x7Y/edit?usp=sharing"",""แผน!LK22"")"),5)</f>
        <v>5</v>
      </c>
      <c r="J709" s="184">
        <f ca="1">IFERROR(__xludf.DUMMYFUNCTION("IMPORTRANGE(""https://docs.google.com/spreadsheets/d/1tdoBKaGub7dwA3U6UFTqxio9LNnvDCQjHKmttSEBsFQ/edit?usp=sharing"",""จัดที่ดิน!BP22"")"),6)</f>
        <v>6</v>
      </c>
      <c r="K709" s="224">
        <f ca="1">IF(I709&gt;0,J709*100/I709,0)</f>
        <v>120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IFERROR(__xludf.DUMMYFUNCTION("IMPORTRANGE(""https://docs.google.com/spreadsheets/d/1tdoBKaGub7dwA3U6UFTqxio9LNnvDCQjHKmttSEBsFQ/edit?usp=sharing"",""จัดที่ดิน!BQ22"")"),0)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IFERROR(__xludf.DUMMYFUNCTION("IMPORTRANGE(""https://docs.google.com/spreadsheets/d/1eHaY18a8A9IcSdp1K8H6x8fbOy06t2VsZHhMHf-1x7Y/edit?usp=sharing"",""แผน!GA22"")"),128)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IFERROR(__xludf.DUMMYFUNCTION("IMPORTRANGE(""https://docs.google.com/spreadsheets/d/1eHaY18a8A9IcSdp1K8H6x8fbOy06t2VsZHhMHf-1x7Y/edit?usp=sharing"",""แผน!FZ22"")"),1250)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317844.95</v>
      </c>
      <c r="T728" s="547">
        <f ca="1">IF(Q728&gt;0,S728*100/Q728,0)</f>
        <v>31.517541424137555</v>
      </c>
      <c r="U728" s="547">
        <f ca="1">IF(R728&gt;0,S728*100/R728,0)</f>
        <v>31.517541424137555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317844.95</v>
      </c>
      <c r="T730" s="224">
        <f ca="1">IF(Q730&gt;0,S730*100/Q730,0)</f>
        <v>31.517541424137555</v>
      </c>
      <c r="U730" s="224">
        <f ca="1">IF(R730&gt;0,S730*100/R730,0)</f>
        <v>31.517541424137555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317844.95</v>
      </c>
      <c r="T731" s="224">
        <f ca="1">IF(Q731&gt;0,S731*100/Q731,0)</f>
        <v>31.517541424137555</v>
      </c>
      <c r="U731" s="224">
        <f ca="1">IF(R731&gt;0,S731*100/R731,0)</f>
        <v>31.517541424137555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IFERROR(__xludf.DUMMYFUNCTION("IMPORTRANGE(""https://docs.google.com/spreadsheets/d/1ItG2mGa2ceCfYo0BwxsXqNm01IGEUdYcSSLTEv9YCik/edit?usp=sharing"",""เบิกจ่ายกองทุน!Q22"")"),317844.95)</f>
        <v>317844.95</v>
      </c>
      <c r="T733" s="224">
        <f ca="1">IF(Q733&gt;0,S733*100/Q733,0)</f>
        <v>31.517541424137555</v>
      </c>
      <c r="U733" s="224">
        <f ca="1">IF(R733&gt;0,S733*100/R733,0)</f>
        <v>31.517541424137555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IFERROR(__xludf.DUMMYFUNCTION("IMPORTRANGE(""https://docs.google.com/spreadsheets/d/1eHaY18a8A9IcSdp1K8H6x8fbOy06t2VsZHhMHf-1x7Y/edit?usp=sharing"",""แผน!GB22"")"),1000)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IFERROR(__xludf.DUMMYFUNCTION("IMPORTRANGE(""https://docs.google.com/spreadsheets/d/1eHaY18a8A9IcSdp1K8H6x8fbOy06t2VsZHhMHf-1x7Y/edit?usp=sharing"",""แผน!GC22"")"),100)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IFERROR(__xludf.DUMMYFUNCTION("IMPORTRANGE(""https://docs.google.com/spreadsheets/d/1eHaY18a8A9IcSdp1K8H6x8fbOy06t2VsZHhMHf-1x7Y/edit?usp=sharing"",""แผน!GD22"")"),250)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IFERROR(__xludf.DUMMYFUNCTION("IMPORTRANGE(""https://docs.google.com/spreadsheets/d/1eHaY18a8A9IcSdp1K8H6x8fbOy06t2VsZHhMHf-1x7Y/edit?usp=sharing"",""แผน!GE22"")"),25)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IFERROR(__xludf.DUMMYFUNCTION("IMPORTRANGE(""https://docs.google.com/spreadsheets/d/1eHaY18a8A9IcSdp1K8H6x8fbOy06t2VsZHhMHf-1x7Y/edit?usp=sharing"",""แผน!GF22"")"),3)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IFERROR(__xludf.DUMMYFUNCTION("IMPORTRANGE(""https://docs.google.com/spreadsheets/d/1eHaY18a8A9IcSdp1K8H6x8fbOy06t2VsZHhMHf-1x7Y/edit?usp=sharing"",""แผน!GB22"")"),1000)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IFERROR(__xludf.DUMMYFUNCTION("IMPORTRANGE(""https://docs.google.com/spreadsheets/d/1eHaY18a8A9IcSdp1K8H6x8fbOy06t2VsZHhMHf-1x7Y/edit?usp=sharing"",""แผน!GD22"")"),250)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hidden="1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0</v>
      </c>
      <c r="J758" s="552">
        <f>J772</f>
        <v>0</v>
      </c>
      <c r="K758" s="551">
        <f ca="1">IF(I758&gt;0,J758*100/I758,0)</f>
        <v>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hidden="1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0</v>
      </c>
      <c r="J759" s="552">
        <f>J774</f>
        <v>0</v>
      </c>
      <c r="K759" s="551">
        <f ca="1">IF(I759&gt;0,J759*100/I759,0)</f>
        <v>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hidden="1" x14ac:dyDescent="0.3">
      <c r="A760" s="128"/>
      <c r="B760" s="158"/>
      <c r="C760" s="177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0</v>
      </c>
      <c r="R760" s="547">
        <f ca="1">R761+R762</f>
        <v>0</v>
      </c>
      <c r="S760" s="547">
        <f ca="1">S761+S762</f>
        <v>0</v>
      </c>
      <c r="T760" s="547">
        <f ca="1">IF(Q760&gt;0,S760*100/Q760,0)</f>
        <v>0</v>
      </c>
      <c r="U760" s="547">
        <f ca="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0</v>
      </c>
      <c r="R762" s="224">
        <f ca="1">R765+R768</f>
        <v>0</v>
      </c>
      <c r="S762" s="224">
        <f ca="1">S765+S768</f>
        <v>0</v>
      </c>
      <c r="T762" s="224">
        <f ca="1">IF(Q762&gt;0,S762*100/Q762,0)</f>
        <v>0</v>
      </c>
      <c r="U762" s="224">
        <f ca="1">IF(R762&gt;0,S762*100/R762,0)</f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ca="1">IF(Q763&gt;0,S763*100/Q763,0)</f>
        <v>0</v>
      </c>
      <c r="U763" s="224">
        <f ca="1">IF(R763&gt;0,S763*100/R763,0)</f>
        <v>0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IFERROR(__xludf.DUMMYFUNCTION("IMPORTRANGE(""https://docs.google.com/spreadsheets/d/1ItG2mGa2ceCfYo0BwxsXqNm01IGEUdYcSSLTEv9YCik/edit?usp=sharing"",""เบิกจ่ายกองทุน!AA22"")"),0)</f>
        <v>0</v>
      </c>
      <c r="R765" s="224">
        <f ca="1">IFERROR(__xludf.DUMMYFUNCTION("IMPORTRANGE(""https://docs.google.com/spreadsheets/d/1ItG2mGa2ceCfYo0BwxsXqNm01IGEUdYcSSLTEv9YCik/edit?usp=sharing"",""เบิกจ่ายกองทุน!AB22"")"),0)</f>
        <v>0</v>
      </c>
      <c r="S765" s="224">
        <f ca="1">IFERROR(__xludf.DUMMYFUNCTION("IMPORTRANGE(""https://docs.google.com/spreadsheets/d/1ItG2mGa2ceCfYo0BwxsXqNm01IGEUdYcSSLTEv9YCik/edit?usp=sharing"",""เบิกจ่ายกองทุน!AC22"")"),0)</f>
        <v>0</v>
      </c>
      <c r="T765" s="224">
        <f ca="1">IF(Q765&gt;0,S765*100/Q765,0)</f>
        <v>0</v>
      </c>
      <c r="U765" s="224">
        <f ca="1">IF(R765&gt;0,S765*100/R765,0)</f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hidden="1" x14ac:dyDescent="0.3">
      <c r="A769" s="138"/>
      <c r="B769" s="139"/>
      <c r="C769" s="498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IFERROR(__xludf.DUMMYFUNCTION("IMPORTRANGE(""https://docs.google.com/spreadsheets/d/1eHaY18a8A9IcSdp1K8H6x8fbOy06t2VsZHhMHf-1x7Y/edit?usp=sharing"",""แผน!FI22"")"),1)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IFERROR(__xludf.DUMMYFUNCTION("IMPORTRANGE(""https://docs.google.com/spreadsheets/d/1eHaY18a8A9IcSdp1K8H6x8fbOy06t2VsZHhMHf-1x7Y/edit?usp=sharing"",""แผน!FQ22"")"),0)</f>
        <v>0</v>
      </c>
      <c r="J772" s="380">
        <v>0</v>
      </c>
      <c r="K772" s="224">
        <f ca="1">IF(I772&gt;0,J772*100/I772,0)</f>
        <v>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IFERROR(__xludf.DUMMYFUNCTION("IMPORTRANGE(""https://docs.google.com/spreadsheets/d/1eHaY18a8A9IcSdp1K8H6x8fbOy06t2VsZHhMHf-1x7Y/edit?usp=sharing"",""แผน!FR22"")"),0)</f>
        <v>0</v>
      </c>
      <c r="J774" s="380">
        <v>0</v>
      </c>
      <c r="K774" s="224">
        <f ca="1">IF(I774&gt;0,J774*100/I774,0)</f>
        <v>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IFERROR(__xludf.DUMMYFUNCTION("IMPORTRANGE(""https://docs.google.com/spreadsheets/d/1eHaY18a8A9IcSdp1K8H6x8fbOy06t2VsZHhMHf-1x7Y/edit?usp=sharing"",""แผน!FS22"")"),0)</f>
        <v>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IFERROR(__xludf.DUMMYFUNCTION("IMPORTRANGE(""https://docs.google.com/spreadsheets/d/1eHaY18a8A9IcSdp1K8H6x8fbOy06t2VsZHhMHf-1x7Y/edit?usp=sharing"",""แผน!FT22"")"),0)</f>
        <v>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IFERROR(__xludf.DUMMYFUNCTION("IMPORTRANGE(""https://docs.google.com/spreadsheets/d/10OvvATaaLtwErnr3qtWFcTmtbfpFEt5Bsqel9sXx0uE/edit?usp=sharing"",""งานกองทุน!D22"")"),773268.18)</f>
        <v>773268.18</v>
      </c>
      <c r="J778" s="184">
        <f ca="1">IFERROR(__xludf.DUMMYFUNCTION("IMPORTRANGE(""https://docs.google.com/spreadsheets/d/10OvvATaaLtwErnr3qtWFcTmtbfpFEt5Bsqel9sXx0uE/edit?usp=sharing"",""งานกองทุน!F22"")"),918294.38)</f>
        <v>918294.38</v>
      </c>
      <c r="K778" s="224">
        <f ca="1">IF(I778&gt;0,J778*100/I778,0)</f>
        <v>118.7549680370916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IFERROR(__xludf.DUMMYFUNCTION("IMPORTRANGE(""https://docs.google.com/spreadsheets/d/10OvvATaaLtwErnr3qtWFcTmtbfpFEt5Bsqel9sXx0uE/edit?usp=sharing"",""งานกองทุน!C22"")"),55)</f>
        <v>55</v>
      </c>
      <c r="J779" s="184">
        <f ca="1">IFERROR(__xludf.DUMMYFUNCTION("IMPORTRANGE(""https://docs.google.com/spreadsheets/d/10OvvATaaLtwErnr3qtWFcTmtbfpFEt5Bsqel9sXx0uE/edit?usp=sharing"",""งานกองทุน!E22"")"),66)</f>
        <v>66</v>
      </c>
      <c r="K779" s="224">
        <f ca="1">IF(I779&gt;0,J779*100/I779,0)</f>
        <v>120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184">
        <f ca="1">IFERROR(__xludf.DUMMYFUNCTION("IMPORTRANGE(""https://docs.google.com/spreadsheets/d/10OvvATaaLtwErnr3qtWFcTmtbfpFEt5Bsqel9sXx0uE/edit?usp=sharing"",""งานกองทุน!K22"")"),251486.71)</f>
        <v>251486.71</v>
      </c>
      <c r="K780" s="224">
        <f ca="1">IF(I780&gt;0,J780*100/I780,0)</f>
        <v>11.684368576480919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IFERROR(__xludf.DUMMYFUNCTION("IMPORTRANGE(""https://docs.google.com/spreadsheets/d/10OvvATaaLtwErnr3qtWFcTmtbfpFEt5Bsqel9sXx0uE/edit?usp=sharing"",""งานกองทุน!H22"")"),97)</f>
        <v>97</v>
      </c>
      <c r="J781" s="184">
        <f ca="1">IFERROR(__xludf.DUMMYFUNCTION("IMPORTRANGE(""https://docs.google.com/spreadsheets/d/10OvvATaaLtwErnr3qtWFcTmtbfpFEt5Bsqel9sXx0uE/edit?usp=sharing"",""งานกองทุน!J22"")"),37)</f>
        <v>37</v>
      </c>
      <c r="K781" s="224">
        <f ca="1">IF(I781&gt;0,J781*100/I781,0)</f>
        <v>38.144329896907216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IFERROR(__xludf.DUMMYFUNCTION("IMPORTRANGE(""https://docs.google.com/spreadsheets/d/10OvvATaaLtwErnr3qtWFcTmtbfpFEt5Bsqel9sXx0uE/edit?usp=sharing"",""งานกองทุน!N22"")"),0)</f>
        <v>0</v>
      </c>
      <c r="J782" s="184">
        <f ca="1">IFERROR(__xludf.DUMMYFUNCTION("IMPORTRANGE(""https://docs.google.com/spreadsheets/d/10OvvATaaLtwErnr3qtWFcTmtbfpFEt5Bsqel9sXx0uE/edit?usp=sharing"",""งานกองทุน!P22"")"),0)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IFERROR(__xludf.DUMMYFUNCTION("IMPORTRANGE(""https://docs.google.com/spreadsheets/d/10OvvATaaLtwErnr3qtWFcTmtbfpFEt5Bsqel9sXx0uE/edit?usp=sharing"",""งานกองทุน!M22"")"),0)</f>
        <v>0</v>
      </c>
      <c r="J783" s="184">
        <f ca="1">IFERROR(__xludf.DUMMYFUNCTION("IMPORTRANGE(""https://docs.google.com/spreadsheets/d/10OvvATaaLtwErnr3qtWFcTmtbfpFEt5Bsqel9sXx0uE/edit?usp=sharing"",""งานกองทุน!O22"")"),0)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IFERROR(__xludf.DUMMYFUNCTION("IMPORTRANGE(""https://docs.google.com/spreadsheets/d/10OvvATaaLtwErnr3qtWFcTmtbfpFEt5Bsqel9sXx0uE/edit?usp=sharing"",""งานกองทุน!S22"")"),4928000)</f>
        <v>4928000</v>
      </c>
      <c r="J784" s="184">
        <f ca="1">IFERROR(__xludf.DUMMYFUNCTION("IMPORTRANGE(""https://docs.google.com/spreadsheets/d/10OvvATaaLtwErnr3qtWFcTmtbfpFEt5Bsqel9sXx0uE/edit?usp=sharing"",""งานกองทุน!U22"")"),3240000)</f>
        <v>3240000</v>
      </c>
      <c r="K784" s="224">
        <f ca="1">IF(I784&gt;0,J784*100/I784,0)</f>
        <v>65.746753246753244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IFERROR(__xludf.DUMMYFUNCTION("IMPORTRANGE(""https://docs.google.com/spreadsheets/d/10OvvATaaLtwErnr3qtWFcTmtbfpFEt5Bsqel9sXx0uE/edit?usp=sharing"",""งานกองทุน!R22"")"),176)</f>
        <v>176</v>
      </c>
      <c r="J785" s="188">
        <f ca="1">IFERROR(__xludf.DUMMYFUNCTION("IMPORTRANGE(""https://docs.google.com/spreadsheets/d/10OvvATaaLtwErnr3qtWFcTmtbfpFEt5Bsqel9sXx0uE/edit?usp=sharing"",""งานกองทุน!T22"")"),92)</f>
        <v>92</v>
      </c>
      <c r="K785" s="508">
        <f ca="1">IF(I785&gt;0,J785*100/I785,0)</f>
        <v>52.272727272727273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6962-1021-49C6-BF8E-4F5359265D7B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337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4751246</v>
      </c>
      <c r="M18" s="755">
        <f ca="1">M19+M20</f>
        <v>4576886</v>
      </c>
      <c r="N18" s="755">
        <f ca="1">N19+N20</f>
        <v>3999052.82</v>
      </c>
      <c r="O18" s="755">
        <f ca="1">IF(L18&gt;0,N18*100/L18,0)</f>
        <v>84.168506955859584</v>
      </c>
      <c r="P18" s="755">
        <f ca="1">IF(M18&gt;0,N18*100/M18,0)</f>
        <v>87.37497110480794</v>
      </c>
      <c r="Q18" s="755">
        <f ca="1">Q19+Q20</f>
        <v>2831662.24</v>
      </c>
      <c r="R18" s="755">
        <f ca="1">R19+R20</f>
        <v>2711398</v>
      </c>
      <c r="S18" s="755">
        <f ca="1">S19+S20</f>
        <v>2413598.5</v>
      </c>
      <c r="T18" s="755">
        <f ca="1">IF(Q18&gt;0,S18*100/Q18,0)</f>
        <v>85.236101463852549</v>
      </c>
      <c r="U18" s="755">
        <f ca="1">IF(R18&gt;0,S18*100/R18,0)</f>
        <v>89.016754456557095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4751246</v>
      </c>
      <c r="M20" s="794">
        <f ca="1">M23+M26</f>
        <v>4576886</v>
      </c>
      <c r="N20" s="794">
        <f ca="1">N23+N26</f>
        <v>3999052.82</v>
      </c>
      <c r="O20" s="794">
        <f ca="1">IF(L20&gt;0,N20*100/L20,0)</f>
        <v>84.168506955859584</v>
      </c>
      <c r="P20" s="794">
        <f ca="1">IF(M20&gt;0,N20*100/M20,0)</f>
        <v>87.37497110480794</v>
      </c>
      <c r="Q20" s="794">
        <f ca="1">Q23+Q26</f>
        <v>2831662.24</v>
      </c>
      <c r="R20" s="794">
        <f ca="1">R23+R26</f>
        <v>2711398</v>
      </c>
      <c r="S20" s="794">
        <f ca="1">S23+S26</f>
        <v>2413598.5</v>
      </c>
      <c r="T20" s="794">
        <f ca="1">IF(Q20&gt;0,S20*100/Q20,0)</f>
        <v>85.236101463852549</v>
      </c>
      <c r="U20" s="794">
        <f ca="1">IF(R20&gt;0,S20*100/R20,0)</f>
        <v>89.016754456557095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4059246</v>
      </c>
      <c r="M21" s="224">
        <f ca="1">M22+M23</f>
        <v>4576886</v>
      </c>
      <c r="N21" s="224">
        <f ca="1">N22+N23</f>
        <v>3999052.82</v>
      </c>
      <c r="O21" s="224">
        <f ca="1">IF(L21&gt;0,N21*100/L21,0)</f>
        <v>98.517133970200376</v>
      </c>
      <c r="P21" s="224">
        <f ca="1">IF(M21&gt;0,N21*100/M21,0)</f>
        <v>87.37497110480794</v>
      </c>
      <c r="Q21" s="224">
        <f ca="1">Q22+Q23</f>
        <v>2831662.24</v>
      </c>
      <c r="R21" s="224">
        <f ca="1">R22+R23</f>
        <v>2711398</v>
      </c>
      <c r="S21" s="224">
        <f ca="1">S22+S23</f>
        <v>2413598.5</v>
      </c>
      <c r="T21" s="224">
        <f ca="1">IF(Q21&gt;0,S21*100/Q21,0)</f>
        <v>85.236101463852549</v>
      </c>
      <c r="U21" s="224">
        <f ca="1">IF(R21&gt;0,S21*100/R21,0)</f>
        <v>89.016754456557095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4059246</v>
      </c>
      <c r="M23" s="224">
        <f ca="1">M49+M64+M77+M99+M122+M144+M162+M191+M178+M271+M287+M308+M325+M338+M361+M380+M418+M498+M518+M539+M560+M581+M604+M621+M647+M695+M719+M733+M765</f>
        <v>4576886</v>
      </c>
      <c r="N23" s="224">
        <f ca="1">N49+N64+N77+N99+N122+N144+N162+N191+N178+N271+N287+N308+N325+N338+N361+N380+N418+N498+N518+N539+N560+N581+N604+N621+N647+N695+N719+N733+N765</f>
        <v>3999052.82</v>
      </c>
      <c r="O23" s="224">
        <f ca="1">IF(L23&gt;0,N23*100/L23,0)</f>
        <v>98.517133970200376</v>
      </c>
      <c r="P23" s="224">
        <f ca="1">IF(M23&gt;0,N23*100/M23,0)</f>
        <v>87.37497110480794</v>
      </c>
      <c r="Q23" s="224">
        <f ca="1">Q77+Q99+Q122+Q144+Q162+Q178+Q191+Q271+Q287+Q308+Q338+Q380+Q397+Q418+Q498+Q604+Q621+Q647+Q695+Q719+Q733+Q765</f>
        <v>2831662.24</v>
      </c>
      <c r="R23" s="224">
        <f ca="1">R77+R99+R122+R144+R162+R178+R191+R271+R287+R308+R338+R380+R397+R418+R498+R604+R621+R647+R695+R719+R733+R765</f>
        <v>2711398</v>
      </c>
      <c r="S23" s="224">
        <f ca="1">S77+S99+S122+S144+S162+S178+S191+S271+S287+S308+S338+S380+S397+S418+S498+S604+S621+S647+S695+S719+S733+S765</f>
        <v>2413598.5</v>
      </c>
      <c r="T23" s="224">
        <f ca="1">IF(Q23&gt;0,S23*100/Q23,0)</f>
        <v>85.236101463852549</v>
      </c>
      <c r="U23" s="224">
        <f ca="1">IF(R23&gt;0,S23*100/R23,0)</f>
        <v>89.016754456557095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692000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692000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3433600</v>
      </c>
      <c r="M40" s="790">
        <f ca="1">M44+M59+M72+M94+M125+M139+M157+M173+M186+M266+M282+M303+M320+M333+M356</f>
        <v>3951240</v>
      </c>
      <c r="N40" s="790">
        <f ca="1">N44+N59+N72+N94+N125+N139+N157+N173+N186+N266+N282+N303+N320+N333+N356</f>
        <v>3581580.82</v>
      </c>
      <c r="O40" s="790">
        <f ca="1">IF(L40&gt;0,N40*100/L40,0)</f>
        <v>104.30978623019571</v>
      </c>
      <c r="P40" s="790">
        <f ca="1">IF(M40&gt;0,N40*100/M40,0)</f>
        <v>90.644476670614793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532000</v>
      </c>
      <c r="M44" s="784">
        <f ca="1">M45+M46</f>
        <v>742875</v>
      </c>
      <c r="N44" s="784">
        <f ca="1">N45+N46</f>
        <v>684225</v>
      </c>
      <c r="O44" s="784">
        <f ca="1">IF(L44&gt;0,N44*100/L44,0)</f>
        <v>128.61372180451127</v>
      </c>
      <c r="P44" s="784">
        <f ca="1">IF(M44&gt;0,N44*100/M44,0)</f>
        <v>92.104997476022206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532000</v>
      </c>
      <c r="M46" s="778">
        <f ca="1">M49+M52</f>
        <v>742875</v>
      </c>
      <c r="N46" s="778">
        <f ca="1">N49+N52</f>
        <v>684225</v>
      </c>
      <c r="O46" s="778">
        <f ca="1">IF(L46&gt;0,N46*100/L46,0)</f>
        <v>128.61372180451127</v>
      </c>
      <c r="P46" s="778">
        <f ca="1">IF(M46&gt;0,N46*100/M46,0)</f>
        <v>92.104997476022206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532000</v>
      </c>
      <c r="M47" s="224">
        <f ca="1">M48+M49</f>
        <v>742875</v>
      </c>
      <c r="N47" s="224">
        <f ca="1">N48+N49</f>
        <v>684225</v>
      </c>
      <c r="O47" s="224">
        <f ca="1">IF(L47&gt;0,N47*100/L47,0)</f>
        <v>128.61372180451127</v>
      </c>
      <c r="P47" s="224">
        <f ca="1">IF(M47&gt;0,N47*100/M47,0)</f>
        <v>92.104997476022206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IFERROR(__xludf.DUMMYFUNCTION("IMPORTRANGE(""https://docs.google.com/spreadsheets/d/1-uDff_7J0KD5mKrp0Vvzr7lt3OU09vwQwhkpOPPYv2Y/edit?usp=sharing"",""งบพรบ!P23"")"),532000)</f>
        <v>532000</v>
      </c>
      <c r="M49" s="224">
        <f ca="1">IFERROR(__xludf.DUMMYFUNCTION("IMPORTRANGE(""https://docs.google.com/spreadsheets/d/1-uDff_7J0KD5mKrp0Vvzr7lt3OU09vwQwhkpOPPYv2Y/edit?usp=sharing"",""งบพรบ!V23"")"),742875)</f>
        <v>742875</v>
      </c>
      <c r="N49" s="224">
        <f ca="1">IFERROR(__xludf.DUMMYFUNCTION("IMPORTRANGE(""https://docs.google.com/spreadsheets/d/1-uDff_7J0KD5mKrp0Vvzr7lt3OU09vwQwhkpOPPYv2Y/edit?usp=sharing"",""งบพรบ!Y23"")"),684225)</f>
        <v>684225</v>
      </c>
      <c r="O49" s="224">
        <f ca="1">IF(L49&gt;0,N49*100/L49,0)</f>
        <v>128.61372180451127</v>
      </c>
      <c r="P49" s="224">
        <f ca="1">IF(M49&gt;0,N49*100/M49,0)</f>
        <v>92.104997476022206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IFERROR(__xludf.DUMMYFUNCTION("IMPORTRANGE(""https://docs.google.com/spreadsheets/d/1-uDff_7J0KD5mKrp0Vvzr7lt3OU09vwQwhkpOPPYv2Y/edit?usp=sharing"",""งบพรบ!S23"")"),0)</f>
        <v>0</v>
      </c>
      <c r="M52" s="224">
        <f ca="1">IFERROR(__xludf.DUMMYFUNCTION("IMPORTRANGE(""https://docs.google.com/spreadsheets/d/1-uDff_7J0KD5mKrp0Vvzr7lt3OU09vwQwhkpOPPYv2Y/edit?usp=sharing"",""งบพรบ!W23"")"),0)</f>
        <v>0</v>
      </c>
      <c r="N52" s="224">
        <f ca="1">IFERROR(__xludf.DUMMYFUNCTION("IMPORTRANGE(""https://docs.google.com/spreadsheets/d/1-uDff_7J0KD5mKrp0Vvzr7lt3OU09vwQwhkpOPPYv2Y/edit?usp=sharing"",""งบพรบ!Z23"")"),0)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819600</v>
      </c>
      <c r="M59" s="772">
        <f ca="1">M60+M61</f>
        <v>821100</v>
      </c>
      <c r="N59" s="772">
        <f ca="1">N60+N61</f>
        <v>811122.03</v>
      </c>
      <c r="O59" s="772">
        <f ca="1">IF(L59&gt;0,N59*100/L59,0)</f>
        <v>98.965596632503662</v>
      </c>
      <c r="P59" s="772">
        <f ca="1">IF(M59&gt;0,N59*100/M59,0)</f>
        <v>98.784804530507856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819600</v>
      </c>
      <c r="M61" s="766">
        <f ca="1">M64+M67</f>
        <v>821100</v>
      </c>
      <c r="N61" s="766">
        <f ca="1">N64+N67</f>
        <v>811122.03</v>
      </c>
      <c r="O61" s="766">
        <f ca="1">IF(L61&gt;0,N61*100/L61,0)</f>
        <v>98.965596632503662</v>
      </c>
      <c r="P61" s="766">
        <f ca="1">IF(M61&gt;0,N61*100/M61,0)</f>
        <v>98.784804530507856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819600</v>
      </c>
      <c r="M62" s="224">
        <f ca="1">M63+M64</f>
        <v>821100</v>
      </c>
      <c r="N62" s="224">
        <f ca="1">N63+N64</f>
        <v>811122.03</v>
      </c>
      <c r="O62" s="224">
        <f ca="1">IF(L62&gt;0,N62*100/L62,0)</f>
        <v>98.965596632503662</v>
      </c>
      <c r="P62" s="224">
        <f ca="1">IF(M62&gt;0,N62*100/M62,0)</f>
        <v>98.784804530507856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IFERROR(__xludf.DUMMYFUNCTION("IMPORTRANGE(""https://docs.google.com/spreadsheets/d/1-uDff_7J0KD5mKrp0Vvzr7lt3OU09vwQwhkpOPPYv2Y/edit?usp=sharing"",""งบพรบ!AC23"")"),819600)</f>
        <v>819600</v>
      </c>
      <c r="M64" s="224">
        <f ca="1">IFERROR(__xludf.DUMMYFUNCTION("IMPORTRANGE(""https://docs.google.com/spreadsheets/d/1-uDff_7J0KD5mKrp0Vvzr7lt3OU09vwQwhkpOPPYv2Y/edit?usp=sharing"",""งบพรบ!AH23"")"),821100)</f>
        <v>821100</v>
      </c>
      <c r="N64" s="224">
        <f ca="1">IFERROR(__xludf.DUMMYFUNCTION("IMPORTRANGE(""https://docs.google.com/spreadsheets/d/1-uDff_7J0KD5mKrp0Vvzr7lt3OU09vwQwhkpOPPYv2Y/edit?usp=sharing"",""งบพรบ!AJ23"")"),811122.03)</f>
        <v>811122.03</v>
      </c>
      <c r="O64" s="224">
        <f ca="1">IF(L64&gt;0,N64*100/L64,0)</f>
        <v>98.965596632503662</v>
      </c>
      <c r="P64" s="224">
        <f ca="1">IF(M64&gt;0,N64*100/M64,0)</f>
        <v>98.784804530507856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IFERROR(__xludf.DUMMYFUNCTION("IMPORTRANGE(""https://docs.google.com/spreadsheets/d/1-uDff_7J0KD5mKrp0Vvzr7lt3OU09vwQwhkpOPPYv2Y/edit?usp=sharing"",""งบพรบ!AF23"")"),0)</f>
        <v>0</v>
      </c>
      <c r="M67" s="508">
        <f ca="1">IFERROR(__xludf.DUMMYFUNCTION("IMPORTRANGE(""https://docs.google.com/spreadsheets/d/1-uDff_7J0KD5mKrp0Vvzr7lt3OU09vwQwhkpOPPYv2Y/edit?usp=sharing"",""งบพรบ!AI23"")"),0)</f>
        <v>0</v>
      </c>
      <c r="N67" s="508">
        <f ca="1">IFERROR(__xludf.DUMMYFUNCTION("IMPORTRANGE(""https://docs.google.com/spreadsheets/d/1-uDff_7J0KD5mKrp0Vvzr7lt3OU09vwQwhkpOPPYv2Y/edit?usp=sharing"",""งบพรบ!AK23"")"),0)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33</v>
      </c>
      <c r="J71" s="756">
        <f>J83</f>
        <v>33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112857</v>
      </c>
      <c r="O72" s="547">
        <f ca="1">IF(L72&gt;0,N72*100/L72,0)</f>
        <v>79.476760563380282</v>
      </c>
      <c r="P72" s="547">
        <f ca="1">IF(M72&gt;0,N72*100/M72,0)</f>
        <v>79.476760563380282</v>
      </c>
      <c r="Q72" s="547">
        <f ca="1">Q73+Q74</f>
        <v>422960</v>
      </c>
      <c r="R72" s="547">
        <f ca="1">R73+R74</f>
        <v>424830</v>
      </c>
      <c r="S72" s="547">
        <f ca="1">S73+S74</f>
        <v>369852</v>
      </c>
      <c r="T72" s="547">
        <f ca="1">IF(Q72&gt;0,S72*100/Q72,0)</f>
        <v>87.443729903536976</v>
      </c>
      <c r="U72" s="547">
        <f ca="1">IF(R72&gt;0,S72*100/R72,0)</f>
        <v>87.058823529411768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112857</v>
      </c>
      <c r="O74" s="224">
        <f ca="1">IF(L74&gt;0,N74*100/L74,0)</f>
        <v>79.476760563380282</v>
      </c>
      <c r="P74" s="224">
        <f ca="1">IF(M74&gt;0,N74*100/M74,0)</f>
        <v>79.476760563380282</v>
      </c>
      <c r="Q74" s="224">
        <f ca="1">Q77+Q80</f>
        <v>422960</v>
      </c>
      <c r="R74" s="224">
        <f ca="1">R77+R80</f>
        <v>424830</v>
      </c>
      <c r="S74" s="224">
        <f ca="1">S77+S80</f>
        <v>369852</v>
      </c>
      <c r="T74" s="224">
        <f ca="1">IF(Q74&gt;0,S74*100/Q74,0)</f>
        <v>87.443729903536976</v>
      </c>
      <c r="U74" s="224">
        <f ca="1">IF(R74&gt;0,S74*100/R74,0)</f>
        <v>87.058823529411768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112857</v>
      </c>
      <c r="O75" s="224">
        <f ca="1">IF(L75&gt;0,N75*100/L75,0)</f>
        <v>79.476760563380282</v>
      </c>
      <c r="P75" s="224">
        <f ca="1">IF(M75&gt;0,N75*100/M75,0)</f>
        <v>79.476760563380282</v>
      </c>
      <c r="Q75" s="224">
        <f ca="1">Q76+Q77</f>
        <v>422960</v>
      </c>
      <c r="R75" s="224">
        <f ca="1">R76+R77</f>
        <v>424830</v>
      </c>
      <c r="S75" s="224">
        <f ca="1">S76+S77</f>
        <v>369852</v>
      </c>
      <c r="T75" s="224">
        <f ca="1">IF(Q75&gt;0,S75*100/Q75,0)</f>
        <v>87.443729903536976</v>
      </c>
      <c r="U75" s="224">
        <f ca="1">IF(R75&gt;0,S75*100/R75,0)</f>
        <v>87.058823529411768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IFERROR(__xludf.DUMMYFUNCTION("IMPORTRANGE(""https://docs.google.com/spreadsheets/d/1-uDff_7J0KD5mKrp0Vvzr7lt3OU09vwQwhkpOPPYv2Y/edit?usp=sharing"",""งบพรบ!AM23"")"),142000)</f>
        <v>142000</v>
      </c>
      <c r="M77" s="224">
        <f ca="1">IFERROR(__xludf.DUMMYFUNCTION("IMPORTRANGE(""https://docs.google.com/spreadsheets/d/1-uDff_7J0KD5mKrp0Vvzr7lt3OU09vwQwhkpOPPYv2Y/edit?usp=sharing"",""งบพรบ!AR23"")"),142000)</f>
        <v>142000</v>
      </c>
      <c r="N77" s="224">
        <f ca="1">IFERROR(__xludf.DUMMYFUNCTION("IMPORTRANGE(""https://docs.google.com/spreadsheets/d/1-uDff_7J0KD5mKrp0Vvzr7lt3OU09vwQwhkpOPPYv2Y/edit?usp=sharing"",""งบพรบ!AT23"")"),112857)</f>
        <v>112857</v>
      </c>
      <c r="O77" s="224">
        <f ca="1">IF(L77&gt;0,N77*100/L77,0)</f>
        <v>79.476760563380282</v>
      </c>
      <c r="P77" s="224">
        <f ca="1">IF(M77&gt;0,N77*100/M77,0)</f>
        <v>79.476760563380282</v>
      </c>
      <c r="Q77" s="224">
        <f ca="1">IFERROR(__xludf.DUMMYFUNCTION("IMPORTRANGE(""https://docs.google.com/spreadsheets/d/1ItG2mGa2ceCfYo0BwxsXqNm01IGEUdYcSSLTEv9YCik/edit?usp=sharing"",""เบิกจ่ายกองทุน!BH23"")"),422960)</f>
        <v>422960</v>
      </c>
      <c r="R77" s="224">
        <f ca="1">IFERROR(__xludf.DUMMYFUNCTION("IMPORTRANGE(""https://docs.google.com/spreadsheets/d/1ItG2mGa2ceCfYo0BwxsXqNm01IGEUdYcSSLTEv9YCik/edit?usp=sharing"",""เบิกจ่ายกองทุน!BI23"")"),424830)</f>
        <v>424830</v>
      </c>
      <c r="S77" s="224">
        <f ca="1">IFERROR(__xludf.DUMMYFUNCTION("IMPORTRANGE(""https://docs.google.com/spreadsheets/d/1ItG2mGa2ceCfYo0BwxsXqNm01IGEUdYcSSLTEv9YCik/edit?usp=sharing"",""เบิกจ่ายกองทุน!BJ23"")"),369852)</f>
        <v>369852</v>
      </c>
      <c r="T77" s="224">
        <f ca="1">IF(Q77&gt;0,S77*100/Q77,0)</f>
        <v>87.443729903536976</v>
      </c>
      <c r="U77" s="224">
        <f ca="1">IF(R77&gt;0,S77*100/R77,0)</f>
        <v>87.058823529411768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IFERROR(__xludf.DUMMYFUNCTION("IMPORTRANGE(""https://docs.google.com/spreadsheets/d/1-uDff_7J0KD5mKrp0Vvzr7lt3OU09vwQwhkpOPPYv2Y/edit?usp=sharing"",""งบพรบ!AP23"")"),0)</f>
        <v>0</v>
      </c>
      <c r="M80" s="224">
        <f ca="1">IFERROR(__xludf.DUMMYFUNCTION("IMPORTRANGE(""https://docs.google.com/spreadsheets/d/1-uDff_7J0KD5mKrp0Vvzr7lt3OU09vwQwhkpOPPYv2Y/edit?usp=sharing"",""งบพรบ!AS23"")"),0)</f>
        <v>0</v>
      </c>
      <c r="N80" s="224">
        <f ca="1">IFERROR(__xludf.DUMMYFUNCTION("IMPORTRANGE(""https://docs.google.com/spreadsheets/d/1-uDff_7J0KD5mKrp0Vvzr7lt3OU09vwQwhkpOPPYv2Y/edit?usp=sharing"",""งบพรบ!AU23"")"),0)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IFERROR(__xludf.DUMMYFUNCTION("IMPORTRANGE(""https://docs.google.com/spreadsheets/d/1ItG2mGa2ceCfYo0BwxsXqNm01IGEUdYcSSLTEv9YCik/edit?usp=sharing"",""เบิกจ่ายกองทุน!BK23"")"),0)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IFERROR(__xludf.DUMMYFUNCTION("IMPORTRANGE(""https://docs.google.com/spreadsheets/d/1ItG2mGa2ceCfYo0BwxsXqNm01IGEUdYcSSLTEv9YCik/edit?usp=sharing"",""เบิกจ่ายกองทุน!BL23"")"),0)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IFERROR(__xludf.DUMMYFUNCTION("IMPORTRANGE(""https://docs.google.com/spreadsheets/d/1ItG2mGa2ceCfYo0BwxsXqNm01IGEUdYcSSLTEv9YCik/edit?usp=sharing"",""เบิกจ่ายกองทุน!BM23"")"),0)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33</v>
      </c>
      <c r="J83" s="338">
        <f>J85+J87+J89</f>
        <v>33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IFERROR(__xludf.DUMMYFUNCTION("IMPORTRANGE(""https://docs.google.com/spreadsheets/d/1eHaY18a8A9IcSdp1K8H6x8fbOy06t2VsZHhMHf-1x7Y/edit?usp=sharing"",""แผน!H23"")"),1)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IFERROR(__xludf.DUMMYFUNCTION("IMPORTRANGE(""https://docs.google.com/spreadsheets/d/1eHaY18a8A9IcSdp1K8H6x8fbOy06t2VsZHhMHf-1x7Y/edit?usp=sharing"",""แผน!I23"")"),33)</f>
        <v>33</v>
      </c>
      <c r="J85" s="380">
        <v>33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IFERROR(__xludf.DUMMYFUNCTION("IMPORTRANGE(""https://docs.google.com/spreadsheets/d/1eHaY18a8A9IcSdp1K8H6x8fbOy06t2VsZHhMHf-1x7Y/edit?usp=sharing"",""แผน!F23"")"),0)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IFERROR(__xludf.DUMMYFUNCTION("IMPORTRANGE(""https://docs.google.com/spreadsheets/d/1eHaY18a8A9IcSdp1K8H6x8fbOy06t2VsZHhMHf-1x7Y/edit?usp=sharing"",""แผน!G23"")"),0)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IFERROR(__xludf.DUMMYFUNCTION("IMPORTRANGE(""https://docs.google.com/spreadsheets/d/1eHaY18a8A9IcSdp1K8H6x8fbOy06t2VsZHhMHf-1x7Y/edit?usp=sharing"",""แผน!D23"")"),0)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IFERROR(__xludf.DUMMYFUNCTION("IMPORTRANGE(""https://docs.google.com/spreadsheets/d/1eHaY18a8A9IcSdp1K8H6x8fbOy06t2VsZHhMHf-1x7Y/edit?usp=sharing"",""แผน!E23"")"),0)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IFERROR(__xludf.DUMMYFUNCTION("IMPORTRANGE(""https://docs.google.com/spreadsheets/d/1eHaY18a8A9IcSdp1K8H6x8fbOy06t2VsZHhMHf-1x7Y/edit?usp=sharing"",""แผน!J23"")"),1)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50400</v>
      </c>
      <c r="O94" s="547">
        <f ca="1">IF(L94&gt;0,N94*100/L94,0)</f>
        <v>98.82352941176471</v>
      </c>
      <c r="P94" s="547">
        <f ca="1">IF(M94&gt;0,N94*100/M94,0)</f>
        <v>98.82352941176471</v>
      </c>
      <c r="Q94" s="547">
        <f ca="1">Q95+Q96</f>
        <v>129840</v>
      </c>
      <c r="R94" s="547">
        <f ca="1">R95+R96</f>
        <v>36792.5</v>
      </c>
      <c r="S94" s="547">
        <f ca="1">S95+S96</f>
        <v>36792.5</v>
      </c>
      <c r="T94" s="547">
        <f ca="1">IF(Q94&gt;0,S94*100/Q94,0)</f>
        <v>28.336799137399876</v>
      </c>
      <c r="U94" s="547">
        <f ca="1">IF(R94&gt;0,S94*100/R94,0)</f>
        <v>100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50400</v>
      </c>
      <c r="O96" s="224">
        <f ca="1">IF(L96&gt;0,N96*100/L96,0)</f>
        <v>98.82352941176471</v>
      </c>
      <c r="P96" s="224">
        <f ca="1">IF(M96&gt;0,N96*100/M96,0)</f>
        <v>98.82352941176471</v>
      </c>
      <c r="Q96" s="224">
        <f ca="1">Q99+Q102</f>
        <v>129840</v>
      </c>
      <c r="R96" s="224">
        <f ca="1">R99+R102</f>
        <v>36792.5</v>
      </c>
      <c r="S96" s="224">
        <f ca="1">S99+S102</f>
        <v>36792.5</v>
      </c>
      <c r="T96" s="224">
        <f ca="1">IF(Q96&gt;0,S96*100/Q96,0)</f>
        <v>28.336799137399876</v>
      </c>
      <c r="U96" s="224">
        <f ca="1">IF(R96&gt;0,S96*100/R96,0)</f>
        <v>100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50400</v>
      </c>
      <c r="O97" s="224">
        <f ca="1">IF(L97&gt;0,N97*100/L97,0)</f>
        <v>98.82352941176471</v>
      </c>
      <c r="P97" s="224">
        <f ca="1">IF(M97&gt;0,N97*100/M97,0)</f>
        <v>98.82352941176471</v>
      </c>
      <c r="Q97" s="224">
        <f ca="1">Q98+Q99</f>
        <v>129840</v>
      </c>
      <c r="R97" s="224">
        <f ca="1">R98+R99</f>
        <v>36792.5</v>
      </c>
      <c r="S97" s="224">
        <f ca="1">S98+S99</f>
        <v>36792.5</v>
      </c>
      <c r="T97" s="224">
        <f ca="1">IF(Q97&gt;0,S97*100/Q97,0)</f>
        <v>28.336799137399876</v>
      </c>
      <c r="U97" s="224">
        <f ca="1">IF(R97&gt;0,S97*100/R97,0)</f>
        <v>100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IFERROR(__xludf.DUMMYFUNCTION("IMPORTRANGE(""https://docs.google.com/spreadsheets/d/1-uDff_7J0KD5mKrp0Vvzr7lt3OU09vwQwhkpOPPYv2Y/edit?usp=sharing"",""งบพรบ!AW23"")"),51000)</f>
        <v>51000</v>
      </c>
      <c r="M99" s="224">
        <f ca="1">IFERROR(__xludf.DUMMYFUNCTION("IMPORTRANGE(""https://docs.google.com/spreadsheets/d/1-uDff_7J0KD5mKrp0Vvzr7lt3OU09vwQwhkpOPPYv2Y/edit?usp=sharing"",""งบพรบ!BB23"")"),51000)</f>
        <v>51000</v>
      </c>
      <c r="N99" s="224">
        <f ca="1">IFERROR(__xludf.DUMMYFUNCTION("IMPORTRANGE(""https://docs.google.com/spreadsheets/d/1-uDff_7J0KD5mKrp0Vvzr7lt3OU09vwQwhkpOPPYv2Y/edit?usp=sharing"",""งบพรบ!BD23"")"),50400)</f>
        <v>50400</v>
      </c>
      <c r="O99" s="224">
        <f ca="1">IF(L99&gt;0,N99*100/L99,0)</f>
        <v>98.82352941176471</v>
      </c>
      <c r="P99" s="224">
        <f ca="1">IF(M99&gt;0,N99*100/M99,0)</f>
        <v>98.82352941176471</v>
      </c>
      <c r="Q99" s="224">
        <f ca="1">IFERROR(__xludf.DUMMYFUNCTION("IMPORTRANGE(""https://docs.google.com/spreadsheets/d/1ItG2mGa2ceCfYo0BwxsXqNm01IGEUdYcSSLTEv9YCik/edit?usp=sharing"",""เบิกจ่ายกองทุน!AJ23"")"),129840)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IFERROR(__xludf.DUMMYFUNCTION("IMPORTRANGE(""https://docs.google.com/spreadsheets/d/1ItG2mGa2ceCfYo0BwxsXqNm01IGEUdYcSSLTEv9YCik/edit?usp=sharing"",""เบิกจ่ายกองทุน!AK23"")"),36792.5)</f>
        <v>36792.5</v>
      </c>
      <c r="S99" s="224">
        <f ca="1">IFERROR(__xludf.DUMMYFUNCTION("IMPORTRANGE(""https://docs.google.com/spreadsheets/d/1ItG2mGa2ceCfYo0BwxsXqNm01IGEUdYcSSLTEv9YCik/edit?usp=sharing"",""เบิกจ่ายกองทุน!AL23"")"),36792.5)</f>
        <v>36792.5</v>
      </c>
      <c r="T99" s="224">
        <f ca="1">IF(Q99&gt;0,S99*100/Q99,0)</f>
        <v>28.336799137399876</v>
      </c>
      <c r="U99" s="224">
        <f ca="1">IF(R99&gt;0,S99*100/R99,0)</f>
        <v>100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IFERROR(__xludf.DUMMYFUNCTION("IMPORTRANGE(""https://docs.google.com/spreadsheets/d/1-uDff_7J0KD5mKrp0Vvzr7lt3OU09vwQwhkpOPPYv2Y/edit?usp=sharing"",""งบพรบ!AZ23"")"),0)</f>
        <v>0</v>
      </c>
      <c r="M102" s="224">
        <f ca="1">IFERROR(__xludf.DUMMYFUNCTION("IMPORTRANGE(""https://docs.google.com/spreadsheets/d/1-uDff_7J0KD5mKrp0Vvzr7lt3OU09vwQwhkpOPPYv2Y/edit?usp=sharing"",""งบพรบ!BC23"")"),0)</f>
        <v>0</v>
      </c>
      <c r="N102" s="224">
        <f ca="1">IFERROR(__xludf.DUMMYFUNCTION("IMPORTRANGE(""https://docs.google.com/spreadsheets/d/1-uDff_7J0KD5mKrp0Vvzr7lt3OU09vwQwhkpOPPYv2Y/edit?usp=sharing"",""งบพรบ!BE23"")"),0)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IFERROR(__xludf.DUMMYFUNCTION("IMPORTRANGE(""https://docs.google.com/spreadsheets/d/1eHaY18a8A9IcSdp1K8H6x8fbOy06t2VsZHhMHf-1x7Y/edit?usp=sharing"",""แผน!N23"")"),60)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IFERROR(__xludf.DUMMYFUNCTION("IMPORTRANGE(""https://docs.google.com/spreadsheets/d/1eHaY18a8A9IcSdp1K8H6x8fbOy06t2VsZHhMHf-1x7Y/edit?usp=sharing"",""แผน!O23"")"),20)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IFERROR(__xludf.DUMMYFUNCTION("IMPORTRANGE(""https://docs.google.com/spreadsheets/d/1eHaY18a8A9IcSdp1K8H6x8fbOy06t2VsZHhMHf-1x7Y/edit?usp=sharing"",""แผน!N23"")"),60)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IFERROR(__xludf.DUMMYFUNCTION("IMPORTRANGE(""https://docs.google.com/spreadsheets/d/1eHaY18a8A9IcSdp1K8H6x8fbOy06t2VsZHhMHf-1x7Y/edit?usp=sharing"",""แผน!O23"")"),20)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183988.5</v>
      </c>
      <c r="T117" s="547">
        <f ca="1">IF(Q117&gt;0,S117*100/Q117,0)</f>
        <v>87.881400458540313</v>
      </c>
      <c r="U117" s="547">
        <f ca="1">IF(R117&gt;0,S117*100/R117,0)</f>
        <v>87.881400458540313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183988.5</v>
      </c>
      <c r="T119" s="224">
        <f ca="1">IF(Q119&gt;0,S119*100/Q119,0)</f>
        <v>87.881400458540313</v>
      </c>
      <c r="U119" s="224">
        <f ca="1">IF(R119&gt;0,S119*100/R119,0)</f>
        <v>87.881400458540313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183988.5</v>
      </c>
      <c r="T120" s="224">
        <f ca="1">IF(Q120&gt;0,S120*100/Q120,0)</f>
        <v>87.881400458540313</v>
      </c>
      <c r="U120" s="224">
        <f ca="1">IF(R120&gt;0,S120*100/R120,0)</f>
        <v>87.881400458540313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IFERROR(__xludf.DUMMYFUNCTION("IMPORTRANGE(""https://docs.google.com/spreadsheets/d/1-uDff_7J0KD5mKrp0Vvzr7lt3OU09vwQwhkpOPPYv2Y/edit?usp=sharing"",""งบพรบ!BG23"")"),0)</f>
        <v>0</v>
      </c>
      <c r="M122" s="224">
        <f ca="1">IFERROR(__xludf.DUMMYFUNCTION("IMPORTRANGE(""https://docs.google.com/spreadsheets/d/1-uDff_7J0KD5mKrp0Vvzr7lt3OU09vwQwhkpOPPYv2Y/edit?usp=sharing"",""งบพรบ!BL23"")"),0)</f>
        <v>0</v>
      </c>
      <c r="N122" s="224">
        <f ca="1">IFERROR(__xludf.DUMMYFUNCTION("IMPORTRANGE(""https://docs.google.com/spreadsheets/d/1-uDff_7J0KD5mKrp0Vvzr7lt3OU09vwQwhkpOPPYv2Y/edit?usp=sharing"",""งบพรบ!BN23"")"),0)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IFERROR(__xludf.DUMMYFUNCTION("IMPORTRANGE(""https://docs.google.com/spreadsheets/d/1ItG2mGa2ceCfYo0BwxsXqNm01IGEUdYcSSLTEv9YCik/edit?usp=sharing"",""เบิกจ่ายกองทุน!U23"")"),209360)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IFERROR(__xludf.DUMMYFUNCTION("IMPORTRANGE(""https://docs.google.com/spreadsheets/d/1ItG2mGa2ceCfYo0BwxsXqNm01IGEUdYcSSLTEv9YCik/edit?usp=sharing"",""เบิกจ่ายกองทุน!V23"")"),209360)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IFERROR(__xludf.DUMMYFUNCTION("IMPORTRANGE(""https://docs.google.com/spreadsheets/d/1ItG2mGa2ceCfYo0BwxsXqNm01IGEUdYcSSLTEv9YCik/edit?usp=sharing"",""เบิกจ่ายกองทุน!W23"")"),183988.5)</f>
        <v>183988.5</v>
      </c>
      <c r="T122" s="224">
        <f ca="1">IF(Q122&gt;0,S122*100/Q122,0)</f>
        <v>87.881400458540313</v>
      </c>
      <c r="U122" s="224">
        <f ca="1">IF(R122&gt;0,S122*100/R122,0)</f>
        <v>87.881400458540313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IFERROR(__xludf.DUMMYFUNCTION("IMPORTRANGE(""https://docs.google.com/spreadsheets/d/1-uDff_7J0KD5mKrp0Vvzr7lt3OU09vwQwhkpOPPYv2Y/edit?usp=sharing"",""งบพรบ!BJ23"")"),0)</f>
        <v>0</v>
      </c>
      <c r="M125" s="224">
        <f ca="1">IFERROR(__xludf.DUMMYFUNCTION("IMPORTRANGE(""https://docs.google.com/spreadsheets/d/1-uDff_7J0KD5mKrp0Vvzr7lt3OU09vwQwhkpOPPYv2Y/edit?usp=sharing"",""งบพรบ!BM23"")"),0)</f>
        <v>0</v>
      </c>
      <c r="N125" s="224">
        <f ca="1">IFERROR(__xludf.DUMMYFUNCTION("IMPORTRANGE(""https://docs.google.com/spreadsheets/d/1-uDff_7J0KD5mKrp0Vvzr7lt3OU09vwQwhkpOPPYv2Y/edit?usp=sharing"",""งบพรบ!BO23"")"),0)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IFERROR(__xludf.DUMMYFUNCTION("IMPORTRANGE(""https://docs.google.com/spreadsheets/d/1ItG2mGa2ceCfYo0BwxsXqNm01IGEUdYcSSLTEv9YCik/edit?usp=sharing"",""เบิกจ่ายกองทุน!X23"")"),0)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IFERROR(__xludf.DUMMYFUNCTION("IMPORTRANGE(""https://docs.google.com/spreadsheets/d/1ItG2mGa2ceCfYo0BwxsXqNm01IGEUdYcSSLTEv9YCik/edit?usp=sharing"",""เบิกจ่ายกองทุน!Y23"")"),0)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IFERROR(__xludf.DUMMYFUNCTION("IMPORTRANGE(""https://docs.google.com/spreadsheets/d/1ItG2mGa2ceCfYo0BwxsXqNm01IGEUdYcSSLTEv9YCik/edit?usp=sharing"",""เบิกจ่ายกองทุน!Z23"")"),0)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IFERROR(__xludf.DUMMYFUNCTION("IMPORTRANGE(""https://docs.google.com/spreadsheets/d/1eHaY18a8A9IcSdp1K8H6x8fbOy06t2VsZHhMHf-1x7Y/edit?usp=sharing"",""แผน!FF23"")"),20)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IFERROR(__xludf.DUMMYFUNCTION("IMPORTRANGE(""https://docs.google.com/spreadsheets/d/1eHaY18a8A9IcSdp1K8H6x8fbOy06t2VsZHhMHf-1x7Y/edit?usp=sharing"",""แผน!FG23"")"),1)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IFERROR(__xludf.DUMMYFUNCTION("IMPORTRANGE(""https://docs.google.com/spreadsheets/d/1eHaY18a8A9IcSdp1K8H6x8fbOy06t2VsZHhMHf-1x7Y/edit?usp=sharing"",""แผน!FH23"")"),20)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IFERROR(__xludf.DUMMYFUNCTION("IMPORTRANGE(""https://docs.google.com/spreadsheets/d/1eHaY18a8A9IcSdp1K8H6x8fbOy06t2VsZHhMHf-1x7Y/edit?usp=sharing"",""แผน!FI23"")"),1)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10</v>
      </c>
      <c r="J137" s="756">
        <f>J152</f>
        <v>10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1</v>
      </c>
      <c r="J138" s="756">
        <f>J153</f>
        <v>1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23300</v>
      </c>
      <c r="M139" s="547">
        <f ca="1">M140+M141</f>
        <v>18300</v>
      </c>
      <c r="N139" s="547">
        <f ca="1">N140+N141</f>
        <v>18300</v>
      </c>
      <c r="O139" s="547">
        <f ca="1">IF(L139&gt;0,N139*100/L139,0)</f>
        <v>78.540772532188839</v>
      </c>
      <c r="P139" s="547">
        <f ca="1">IF(M139&gt;0,N139*100/M139,0)</f>
        <v>100</v>
      </c>
      <c r="Q139" s="547">
        <f ca="1">Q140+Q141</f>
        <v>33700</v>
      </c>
      <c r="R139" s="547">
        <f ca="1">R140+R141</f>
        <v>33700</v>
      </c>
      <c r="S139" s="547">
        <f ca="1">S140+S141</f>
        <v>33700</v>
      </c>
      <c r="T139" s="547">
        <f ca="1">IF(Q139&gt;0,S139*100/Q139,0)</f>
        <v>100</v>
      </c>
      <c r="U139" s="547">
        <f ca="1">IF(R139&gt;0,S139*100/R139,0)</f>
        <v>100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23300</v>
      </c>
      <c r="M141" s="224">
        <f ca="1">M144+M147</f>
        <v>18300</v>
      </c>
      <c r="N141" s="224">
        <f ca="1">N144+N147</f>
        <v>18300</v>
      </c>
      <c r="O141" s="224">
        <f ca="1">IF(L141&gt;0,N141*100/L141,0)</f>
        <v>78.540772532188839</v>
      </c>
      <c r="P141" s="224">
        <f ca="1">IF(M141&gt;0,N141*100/M141,0)</f>
        <v>100</v>
      </c>
      <c r="Q141" s="224">
        <f ca="1">Q144+Q147</f>
        <v>33700</v>
      </c>
      <c r="R141" s="224">
        <f ca="1">R144+R147</f>
        <v>33700</v>
      </c>
      <c r="S141" s="224">
        <f ca="1">S144+S147</f>
        <v>33700</v>
      </c>
      <c r="T141" s="224">
        <f ca="1">IF(Q141&gt;0,S141*100/Q141,0)</f>
        <v>100</v>
      </c>
      <c r="U141" s="224">
        <f ca="1">IF(R141&gt;0,S141*100/R141,0)</f>
        <v>100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23300</v>
      </c>
      <c r="M142" s="224">
        <f ca="1">M143+M144</f>
        <v>18300</v>
      </c>
      <c r="N142" s="224">
        <f ca="1">N143+N144</f>
        <v>18300</v>
      </c>
      <c r="O142" s="224">
        <f ca="1">IF(L142&gt;0,N142*100/L142,0)</f>
        <v>78.540772532188839</v>
      </c>
      <c r="P142" s="224">
        <f ca="1">IF(M142&gt;0,N142*100/M142,0)</f>
        <v>100</v>
      </c>
      <c r="Q142" s="224">
        <f ca="1">Q143+Q144</f>
        <v>33700</v>
      </c>
      <c r="R142" s="224">
        <f ca="1">R143+R144</f>
        <v>33700</v>
      </c>
      <c r="S142" s="224">
        <f ca="1">S143+S144</f>
        <v>33700</v>
      </c>
      <c r="T142" s="224">
        <f ca="1">IF(Q142&gt;0,S142*100/Q142,0)</f>
        <v>100</v>
      </c>
      <c r="U142" s="224">
        <f ca="1">IF(R142&gt;0,S142*100/R142,0)</f>
        <v>100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IFERROR(__xludf.DUMMYFUNCTION("IMPORTRANGE(""https://docs.google.com/spreadsheets/d/1-uDff_7J0KD5mKrp0Vvzr7lt3OU09vwQwhkpOPPYv2Y/edit?usp=sharing"",""งบพรบ!BQ23"")"),23300)</f>
        <v>23300</v>
      </c>
      <c r="M144" s="224">
        <f ca="1">IFERROR(__xludf.DUMMYFUNCTION("IMPORTRANGE(""https://docs.google.com/spreadsheets/d/1-uDff_7J0KD5mKrp0Vvzr7lt3OU09vwQwhkpOPPYv2Y/edit?usp=sharing"",""งบพรบ!BV23"")"),18300)</f>
        <v>18300</v>
      </c>
      <c r="N144" s="224">
        <f ca="1">IFERROR(__xludf.DUMMYFUNCTION("IMPORTRANGE(""https://docs.google.com/spreadsheets/d/1-uDff_7J0KD5mKrp0Vvzr7lt3OU09vwQwhkpOPPYv2Y/edit?usp=sharing"",""งบพรบ!BX23"")"),18300)</f>
        <v>18300</v>
      </c>
      <c r="O144" s="224">
        <f ca="1">IF(L144&gt;0,N144*100/L144,0)</f>
        <v>78.540772532188839</v>
      </c>
      <c r="P144" s="224">
        <f ca="1">IF(M144&gt;0,N144*100/M144,0)</f>
        <v>100</v>
      </c>
      <c r="Q144" s="224">
        <f ca="1">IFERROR(__xludf.DUMMYFUNCTION("IMPORTRANGE(""https://docs.google.com/spreadsheets/d/1ItG2mGa2ceCfYo0BwxsXqNm01IGEUdYcSSLTEv9YCik/edit?usp=sharing"",""เบิกจ่ายกองทุน!CF23"")"),33700)</f>
        <v>33700</v>
      </c>
      <c r="R144" s="224">
        <f ca="1">IFERROR(__xludf.DUMMYFUNCTION("IMPORTRANGE(""https://docs.google.com/spreadsheets/d/1ItG2mGa2ceCfYo0BwxsXqNm01IGEUdYcSSLTEv9YCik/edit?usp=sharing"",""เบิกจ่ายกองทุน!CG23"")"),33700)</f>
        <v>33700</v>
      </c>
      <c r="S144" s="224">
        <f ca="1">IFERROR(__xludf.DUMMYFUNCTION("IMPORTRANGE(""https://docs.google.com/spreadsheets/d/1ItG2mGa2ceCfYo0BwxsXqNm01IGEUdYcSSLTEv9YCik/edit?usp=sharing"",""เบิกจ่ายกองทุน!CH23"")"),33700)</f>
        <v>33700</v>
      </c>
      <c r="T144" s="224">
        <f ca="1">IF(Q144&gt;0,S144*100/Q144,0)</f>
        <v>100</v>
      </c>
      <c r="U144" s="224">
        <f ca="1">IF(R144&gt;0,S144*100/R144,0)</f>
        <v>100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IFERROR(__xludf.DUMMYFUNCTION("IMPORTRANGE(""https://docs.google.com/spreadsheets/d/1-uDff_7J0KD5mKrp0Vvzr7lt3OU09vwQwhkpOPPYv2Y/edit?usp=sharing"",""งบพรบ!BT23"")"),0)</f>
        <v>0</v>
      </c>
      <c r="M147" s="224">
        <f ca="1">IFERROR(__xludf.DUMMYFUNCTION("IMPORTRANGE(""https://docs.google.com/spreadsheets/d/1-uDff_7J0KD5mKrp0Vvzr7lt3OU09vwQwhkpOPPYv2Y/edit?usp=sharing"",""งบพรบ!BW23"")"),0)</f>
        <v>0</v>
      </c>
      <c r="N147" s="224">
        <f ca="1">IFERROR(__xludf.DUMMYFUNCTION("IMPORTRANGE(""https://docs.google.com/spreadsheets/d/1-uDff_7J0KD5mKrp0Vvzr7lt3OU09vwQwhkpOPPYv2Y/edit?usp=sharing"",""งบพรบ!BY23"")"),0)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IFERROR(__xludf.DUMMYFUNCTION("IMPORTRANGE(""https://docs.google.com/spreadsheets/d/1ItG2mGa2ceCfYo0BwxsXqNm01IGEUdYcSSLTEv9YCik/edit?usp=sharing"",""เบิกจ่ายกองทุน!CI23"")"),0)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IFERROR(__xludf.DUMMYFUNCTION("IMPORTRANGE(""https://docs.google.com/spreadsheets/d/1ItG2mGa2ceCfYo0BwxsXqNm01IGEUdYcSSLTEv9YCik/edit?usp=sharing"",""เบิกจ่ายกองทุน!CJ23"")"),0)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IFERROR(__xludf.DUMMYFUNCTION("IMPORTRANGE(""https://docs.google.com/spreadsheets/d/1ItG2mGa2ceCfYo0BwxsXqNm01IGEUdYcSSLTEv9YCik/edit?usp=sharing"",""เบิกจ่ายกองทุน!CK23"")"),0)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IFERROR(__xludf.DUMMYFUNCTION("IMPORTRANGE(""https://docs.google.com/spreadsheets/d/1eHaY18a8A9IcSdp1K8H6x8fbOy06t2VsZHhMHf-1x7Y/edit?usp=sharing"",""แผน!U23"")"),0)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IFERROR(__xludf.DUMMYFUNCTION("IMPORTRANGE(""https://docs.google.com/spreadsheets/d/1eHaY18a8A9IcSdp1K8H6x8fbOy06t2VsZHhMHf-1x7Y/edit?usp=sharing"",""แผน!V23"")"),0)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IFERROR(__xludf.DUMMYFUNCTION("IMPORTRANGE(""https://docs.google.com/spreadsheets/d/1eHaY18a8A9IcSdp1K8H6x8fbOy06t2VsZHhMHf-1x7Y/edit?usp=sharing"",""แผน!W23"")"),10)</f>
        <v>10</v>
      </c>
      <c r="J152" s="380">
        <v>10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IFERROR(__xludf.DUMMYFUNCTION("IMPORTRANGE(""https://docs.google.com/spreadsheets/d/1eHaY18a8A9IcSdp1K8H6x8fbOy06t2VsZHhMHf-1x7Y/edit?usp=sharing"",""แผน!X23"")"),1)</f>
        <v>1</v>
      </c>
      <c r="J153" s="380">
        <v>1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IFERROR(__xludf.DUMMYFUNCTION("IMPORTRANGE(""https://docs.google.com/spreadsheets/d/1eHaY18a8A9IcSdp1K8H6x8fbOy06t2VsZHhMHf-1x7Y/edit?usp=sharing"",""แผน!Y23"")"),0)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30</v>
      </c>
      <c r="J156" s="756">
        <f>J167</f>
        <v>30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9000</v>
      </c>
      <c r="M157" s="547">
        <f ca="1">M158+M159</f>
        <v>4500</v>
      </c>
      <c r="N157" s="547">
        <f ca="1">N158+N159</f>
        <v>4500</v>
      </c>
      <c r="O157" s="547">
        <f ca="1">IF(L157&gt;0,N157*100/L157,0)</f>
        <v>50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9000</v>
      </c>
      <c r="M159" s="224">
        <f ca="1">M162+M165</f>
        <v>4500</v>
      </c>
      <c r="N159" s="224">
        <f ca="1">N162+N165</f>
        <v>4500</v>
      </c>
      <c r="O159" s="224">
        <f ca="1">IF(L159&gt;0,N159*100/L159,0)</f>
        <v>50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9000</v>
      </c>
      <c r="M160" s="224">
        <f ca="1">M161+M162</f>
        <v>4500</v>
      </c>
      <c r="N160" s="224">
        <f ca="1">N161+N162</f>
        <v>4500</v>
      </c>
      <c r="O160" s="224">
        <f ca="1">IF(L160&gt;0,N160*100/L160,0)</f>
        <v>50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IFERROR(__xludf.DUMMYFUNCTION("IMPORTRANGE(""https://docs.google.com/spreadsheets/d/1-uDff_7J0KD5mKrp0Vvzr7lt3OU09vwQwhkpOPPYv2Y/edit?usp=sharing"",""งบพรบ!CA23"")"),9000)</f>
        <v>9000</v>
      </c>
      <c r="M162" s="224">
        <f ca="1">IFERROR(__xludf.DUMMYFUNCTION("IMPORTRANGE(""https://docs.google.com/spreadsheets/d/1-uDff_7J0KD5mKrp0Vvzr7lt3OU09vwQwhkpOPPYv2Y/edit?usp=sharing"",""งบพรบ!CF23"")"),4500)</f>
        <v>4500</v>
      </c>
      <c r="N162" s="224">
        <f ca="1">IFERROR(__xludf.DUMMYFUNCTION("IMPORTRANGE(""https://docs.google.com/spreadsheets/d/1-uDff_7J0KD5mKrp0Vvzr7lt3OU09vwQwhkpOPPYv2Y/edit?usp=sharing"",""งบพรบ!CH23"")"),4500)</f>
        <v>4500</v>
      </c>
      <c r="O162" s="224">
        <f ca="1">IF(L162&gt;0,N162*100/L162,0)</f>
        <v>50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IFERROR(__xludf.DUMMYFUNCTION("IMPORTRANGE(""https://docs.google.com/spreadsheets/d/1ItG2mGa2ceCfYo0BwxsXqNm01IGEUdYcSSLTEv9YCik/edit?usp=sharing"",""เบิกจ่ายกองทุน!AM23"")"),0)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IFERROR(__xludf.DUMMYFUNCTION("IMPORTRANGE(""https://docs.google.com/spreadsheets/d/1ItG2mGa2ceCfYo0BwxsXqNm01IGEUdYcSSLTEv9YCik/edit?usp=sharing"",""เบิกจ่ายกองทุน!AN23"")"),0)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IFERROR(__xludf.DUMMYFUNCTION("IMPORTRANGE(""https://docs.google.com/spreadsheets/d/1ItG2mGa2ceCfYo0BwxsXqNm01IGEUdYcSSLTEv9YCik/edit?usp=sharing"",""เบิกจ่ายกองทุน!AO23"")"),0)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IFERROR(__xludf.DUMMYFUNCTION("IMPORTRANGE(""https://docs.google.com/spreadsheets/d/1-uDff_7J0KD5mKrp0Vvzr7lt3OU09vwQwhkpOPPYv2Y/edit?usp=sharing"",""งบพรบ!CD23"")"),0)</f>
        <v>0</v>
      </c>
      <c r="M165" s="224">
        <f ca="1">IFERROR(__xludf.DUMMYFUNCTION("IMPORTRANGE(""https://docs.google.com/spreadsheets/d/1-uDff_7J0KD5mKrp0Vvzr7lt3OU09vwQwhkpOPPYv2Y/edit?usp=sharing"",""งบพรบ!CG23"")"),0)</f>
        <v>0</v>
      </c>
      <c r="N165" s="224">
        <f ca="1">IFERROR(__xludf.DUMMYFUNCTION("IMPORTRANGE(""https://docs.google.com/spreadsheets/d/1-uDff_7J0KD5mKrp0Vvzr7lt3OU09vwQwhkpOPPYv2Y/edit?usp=sharing"",""งบพรบ!CI23"")"),0)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IFERROR(__xludf.DUMMYFUNCTION("IMPORTRANGE(""https://docs.google.com/spreadsheets/d/1eHaY18a8A9IcSdp1K8H6x8fbOy06t2VsZHhMHf-1x7Y/edit?usp=sharing"",""แผน!Z23"")"),30)</f>
        <v>30</v>
      </c>
      <c r="J167" s="380">
        <v>30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30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30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126640</v>
      </c>
      <c r="N173" s="547">
        <f ca="1">N174+N175</f>
        <v>126640</v>
      </c>
      <c r="O173" s="547">
        <f ca="1">IF(L173&gt;0,N173*100/L173,0)</f>
        <v>646.4522715671261</v>
      </c>
      <c r="P173" s="547">
        <f ca="1">IF(M173&gt;0,N173*100/M173,0)</f>
        <v>100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126640</v>
      </c>
      <c r="N175" s="224">
        <f ca="1">N178+N181</f>
        <v>126640</v>
      </c>
      <c r="O175" s="224">
        <f ca="1">IF(L175&gt;0,N175*100/L175,0)</f>
        <v>646.4522715671261</v>
      </c>
      <c r="P175" s="224">
        <f ca="1">IF(M175&gt;0,N175*100/M175,0)</f>
        <v>100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126640</v>
      </c>
      <c r="N176" s="224">
        <f ca="1">N177+N178</f>
        <v>126640</v>
      </c>
      <c r="O176" s="224">
        <f ca="1">IF(L176&gt;0,N176*100/L176,0)</f>
        <v>646.4522715671261</v>
      </c>
      <c r="P176" s="224">
        <f ca="1">IF(M176&gt;0,N176*100/M176,0)</f>
        <v>100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IFERROR(__xludf.DUMMYFUNCTION("IMPORTRANGE(""https://docs.google.com/spreadsheets/d/1-uDff_7J0KD5mKrp0Vvzr7lt3OU09vwQwhkpOPPYv2Y/edit?usp=sharing"",""งบพรบ!CK23"")"),19590)</f>
        <v>19590</v>
      </c>
      <c r="M178" s="224">
        <f ca="1">IFERROR(__xludf.DUMMYFUNCTION("IMPORTRANGE(""https://docs.google.com/spreadsheets/d/1-uDff_7J0KD5mKrp0Vvzr7lt3OU09vwQwhkpOPPYv2Y/edit?usp=sharing"",""งบพรบ!CP23"")"),126640)</f>
        <v>126640</v>
      </c>
      <c r="N178" s="224">
        <f ca="1">IFERROR(__xludf.DUMMYFUNCTION("IMPORTRANGE(""https://docs.google.com/spreadsheets/d/1-uDff_7J0KD5mKrp0Vvzr7lt3OU09vwQwhkpOPPYv2Y/edit?usp=sharing"",""งบพรบ!CR23"")"),126640)</f>
        <v>126640</v>
      </c>
      <c r="O178" s="224">
        <f ca="1">IF(L178&gt;0,N178*100/L178,0)</f>
        <v>646.4522715671261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IFERROR(__xludf.DUMMYFUNCTION("IMPORTRANGE(""https://docs.google.com/spreadsheets/d/1ItG2mGa2ceCfYo0BwxsXqNm01IGEUdYcSSLTEv9YCik/edit?usp=sharing"",""เบิกจ่ายกองทุน!DG23"")"),22960)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IFERROR(__xludf.DUMMYFUNCTION("IMPORTRANGE(""https://docs.google.com/spreadsheets/d/1ItG2mGa2ceCfYo0BwxsXqNm01IGEUdYcSSLTEv9YCik/edit?usp=sharing"",""เบิกจ่ายกองทุน!DH23"")"),22960)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IFERROR(__xludf.DUMMYFUNCTION("IMPORTRANGE(""https://docs.google.com/spreadsheets/d/1ItG2mGa2ceCfYo0BwxsXqNm01IGEUdYcSSLTEv9YCik/edit?usp=sharing"",""เบิกจ่ายกองทุน!DI23"")"),22960)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IFERROR(__xludf.DUMMYFUNCTION("IMPORTRANGE(""https://docs.google.com/spreadsheets/d/1-uDff_7J0KD5mKrp0Vvzr7lt3OU09vwQwhkpOPPYv2Y/edit?usp=sharing"",""งบพรบ!CN23"")"),0)</f>
        <v>0</v>
      </c>
      <c r="M181" s="224">
        <f ca="1">IFERROR(__xludf.DUMMYFUNCTION("IMPORTRANGE(""https://docs.google.com/spreadsheets/d/1-uDff_7J0KD5mKrp0Vvzr7lt3OU09vwQwhkpOPPYv2Y/edit?usp=sharing"",""งบพรบ!CQ23"")"),0)</f>
        <v>0</v>
      </c>
      <c r="N181" s="224">
        <f ca="1">IFERROR(__xludf.DUMMYFUNCTION("IMPORTRANGE(""https://docs.google.com/spreadsheets/d/1-uDff_7J0KD5mKrp0Vvzr7lt3OU09vwQwhkpOPPYv2Y/edit?usp=sharing"",""งบพรบ!CS23"")"),0)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IFERROR(__xludf.DUMMYFUNCTION("IMPORTRANGE(""https://docs.google.com/spreadsheets/d/1eHaY18a8A9IcSdp1K8H6x8fbOy06t2VsZHhMHf-1x7Y/edit?usp=sharing"",""แผน!AA23"")"),17)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150500</v>
      </c>
      <c r="M186" s="547">
        <f ca="1">M187+M188</f>
        <v>176605</v>
      </c>
      <c r="N186" s="547">
        <f ca="1">N187+N188</f>
        <v>165564.99</v>
      </c>
      <c r="O186" s="547">
        <f ca="1">IF(L186&gt;0,N186*100/L186,0)</f>
        <v>110.00996013289037</v>
      </c>
      <c r="P186" s="547">
        <f ca="1">IF(M186&gt;0,N186*100/M186,0)</f>
        <v>93.748755697743547</v>
      </c>
      <c r="Q186" s="547">
        <f ca="1">Q187+Q188</f>
        <v>155400</v>
      </c>
      <c r="R186" s="547">
        <f ca="1">R187+R188</f>
        <v>155240</v>
      </c>
      <c r="S186" s="547">
        <f ca="1">S187+S188</f>
        <v>155240</v>
      </c>
      <c r="T186" s="547">
        <f ca="1">IF(Q186&gt;0,S186*100/Q186,0)</f>
        <v>99.897039897039903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150500</v>
      </c>
      <c r="M188" s="224">
        <f ca="1">M191+M194</f>
        <v>176605</v>
      </c>
      <c r="N188" s="224">
        <f ca="1">N191+N194</f>
        <v>165564.99</v>
      </c>
      <c r="O188" s="224">
        <f ca="1">IF(L188&gt;0,N188*100/L188,0)</f>
        <v>110.00996013289037</v>
      </c>
      <c r="P188" s="224">
        <f ca="1">IF(M188&gt;0,N188*100/M188,0)</f>
        <v>93.748755697743547</v>
      </c>
      <c r="Q188" s="224">
        <f ca="1">Q191+Q194</f>
        <v>155400</v>
      </c>
      <c r="R188" s="224">
        <f ca="1">R191+R194</f>
        <v>155240</v>
      </c>
      <c r="S188" s="224">
        <f ca="1">S191+S194</f>
        <v>155240</v>
      </c>
      <c r="T188" s="224">
        <f ca="1">IF(Q188&gt;0,S188*100/Q188,0)</f>
        <v>99.897039897039903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150500</v>
      </c>
      <c r="M189" s="224">
        <f ca="1">M190+M191</f>
        <v>176605</v>
      </c>
      <c r="N189" s="224">
        <f ca="1">N190+N191</f>
        <v>165564.99</v>
      </c>
      <c r="O189" s="224">
        <f ca="1">IF(L189&gt;0,N189*100/L189,0)</f>
        <v>110.00996013289037</v>
      </c>
      <c r="P189" s="224">
        <f ca="1">IF(M189&gt;0,N189*100/M189,0)</f>
        <v>93.748755697743547</v>
      </c>
      <c r="Q189" s="224">
        <f ca="1">Q190+Q191</f>
        <v>155400</v>
      </c>
      <c r="R189" s="224">
        <f ca="1">R190+R191</f>
        <v>155240</v>
      </c>
      <c r="S189" s="224">
        <f ca="1">S190+S191</f>
        <v>155240</v>
      </c>
      <c r="T189" s="224">
        <f ca="1">IF(Q189&gt;0,S189*100/Q189,0)</f>
        <v>99.897039897039903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IFERROR(__xludf.DUMMYFUNCTION("IMPORTRANGE(""https://docs.google.com/spreadsheets/d/1-uDff_7J0KD5mKrp0Vvzr7lt3OU09vwQwhkpOPPYv2Y/edit?usp=sharing"",""งบพรบ!CU23"")"),150500)</f>
        <v>150500</v>
      </c>
      <c r="M191" s="224">
        <f ca="1">IFERROR(__xludf.DUMMYFUNCTION("IMPORTRANGE(""https://docs.google.com/spreadsheets/d/1-uDff_7J0KD5mKrp0Vvzr7lt3OU09vwQwhkpOPPYv2Y/edit?usp=sharing"",""งบพรบ!CZ23"")"),176605)</f>
        <v>176605</v>
      </c>
      <c r="N191" s="224">
        <f ca="1">IFERROR(__xludf.DUMMYFUNCTION("IMPORTRANGE(""https://docs.google.com/spreadsheets/d/1-uDff_7J0KD5mKrp0Vvzr7lt3OU09vwQwhkpOPPYv2Y/edit?usp=sharing"",""งบพรบ!DB23"")"),165564.99)</f>
        <v>165564.99</v>
      </c>
      <c r="O191" s="224">
        <f ca="1">IF(L191&gt;0,N191*100/L191,0)</f>
        <v>110.00996013289037</v>
      </c>
      <c r="P191" s="224">
        <f ca="1">IF(M191&gt;0,N191*100/M191,0)</f>
        <v>93.748755697743547</v>
      </c>
      <c r="Q191" s="224">
        <f ca="1">IFERROR(__xludf.DUMMYFUNCTION("IMPORTRANGE(""https://docs.google.com/spreadsheets/d/1ItG2mGa2ceCfYo0BwxsXqNm01IGEUdYcSSLTEv9YCik/edit?usp=sharing"",""เบิกจ่ายกองทุน!BQ23"")"),155400)</f>
        <v>155400</v>
      </c>
      <c r="R191" s="224">
        <f ca="1">IFERROR(__xludf.DUMMYFUNCTION("IMPORTRANGE(""https://docs.google.com/spreadsheets/d/1ItG2mGa2ceCfYo0BwxsXqNm01IGEUdYcSSLTEv9YCik/edit?usp=sharing"",""เบิกจ่ายกองทุน!BR23"")"),155240)</f>
        <v>155240</v>
      </c>
      <c r="S191" s="224">
        <f ca="1">IFERROR(__xludf.DUMMYFUNCTION("IMPORTRANGE(""https://docs.google.com/spreadsheets/d/1ItG2mGa2ceCfYo0BwxsXqNm01IGEUdYcSSLTEv9YCik/edit?usp=sharing"",""เบิกจ่ายกองทุน!BS23"")"),155240)</f>
        <v>155240</v>
      </c>
      <c r="T191" s="224">
        <f ca="1">IF(Q191&gt;0,S191*100/Q191,0)</f>
        <v>99.897039897039903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IFERROR(__xludf.DUMMYFUNCTION("IMPORTRANGE(""https://docs.google.com/spreadsheets/d/1-uDff_7J0KD5mKrp0Vvzr7lt3OU09vwQwhkpOPPYv2Y/edit?usp=sharing"",""งบพรบ!CX23"")"),0)</f>
        <v>0</v>
      </c>
      <c r="M194" s="224">
        <f ca="1">IFERROR(__xludf.DUMMYFUNCTION("IMPORTRANGE(""https://docs.google.com/spreadsheets/d/1-uDff_7J0KD5mKrp0Vvzr7lt3OU09vwQwhkpOPPYv2Y/edit?usp=sharing"",""งบพรบ!DA23"")"),0)</f>
        <v>0</v>
      </c>
      <c r="N194" s="224">
        <f ca="1">IFERROR(__xludf.DUMMYFUNCTION("IMPORTRANGE(""https://docs.google.com/spreadsheets/d/1-uDff_7J0KD5mKrp0Vvzr7lt3OU09vwQwhkpOPPYv2Y/edit?usp=sharing"",""งบพรบ!DC23"")"),0)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IFERROR(__xludf.DUMMYFUNCTION("IMPORTRANGE(""https://docs.google.com/spreadsheets/d/1ItG2mGa2ceCfYo0BwxsXqNm01IGEUdYcSSLTEv9YCik/edit?usp=sharing"",""เบิกจ่ายกองทุน!BT23"")"),0)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IFERROR(__xludf.DUMMYFUNCTION("IMPORTRANGE(""https://docs.google.com/spreadsheets/d/1ItG2mGa2ceCfYo0BwxsXqNm01IGEUdYcSSLTEv9YCik/edit?usp=sharing"",""เบิกจ่ายกองทุน!BU23"")"),0)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IFERROR(__xludf.DUMMYFUNCTION("IMPORTRANGE(""https://docs.google.com/spreadsheets/d/1ItG2mGa2ceCfYo0BwxsXqNm01IGEUdYcSSLTEv9YCik/edit?usp=sharing"",""เบิกจ่ายกองทุน!BV23"")"),0)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IFERROR(__xludf.DUMMYFUNCTION("IMPORTRANGE(""https://docs.google.com/spreadsheets/d/1eHaY18a8A9IcSdp1K8H6x8fbOy06t2VsZHhMHf-1x7Y/edit?usp=sharing"",""แผน!AB23"")"),6000)</f>
        <v>6000</v>
      </c>
      <c r="M196" s="45"/>
      <c r="N196" s="749">
        <v>5940</v>
      </c>
      <c r="O196" s="547">
        <f ca="1">IF(L196&gt;0,N196*100/L196,0)</f>
        <v>99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IFERROR(__xludf.DUMMYFUNCTION("IMPORTRANGE(""https://docs.google.com/spreadsheets/d/1eHaY18a8A9IcSdp1K8H6x8fbOy06t2VsZHhMHf-1x7Y/edit?usp=sharing"",""แผน!AE23"")"),4)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130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130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25000</v>
      </c>
      <c r="M203" s="45"/>
      <c r="N203" s="547">
        <f>N204+N205+N206+N207</f>
        <v>15370</v>
      </c>
      <c r="O203" s="547">
        <f ca="1">IF(L203&gt;0,N203*100/L203,0)</f>
        <v>61.48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55840</v>
      </c>
      <c r="T203" s="747">
        <f ca="1">IF(Q203&gt;0,S203*100/Q203,0)</f>
        <v>99.714285714285708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IFERROR(__xludf.DUMMYFUNCTION("IMPORTRANGE(""https://docs.google.com/spreadsheets/d/1eHaY18a8A9IcSdp1K8H6x8fbOy06t2VsZHhMHf-1x7Y/edit?usp=sharing"",""แผน!AG23"")"),4000)</f>
        <v>4000</v>
      </c>
      <c r="M204" s="45"/>
      <c r="N204" s="737">
        <v>3370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IFERROR(__xludf.DUMMYFUNCTION("IMPORTRANGE(""https://docs.google.com/spreadsheets/d/1eHaY18a8A9IcSdp1K8H6x8fbOy06t2VsZHhMHf-1x7Y/edit?usp=sharing"",""แผน!AH23"")"),0)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IFERROR(__xludf.DUMMYFUNCTION("IMPORTRANGE(""https://docs.google.com/spreadsheets/d/1eHaY18a8A9IcSdp1K8H6x8fbOy06t2VsZHhMHf-1x7Y/edit?usp=sharing"",""แผน!AI23"")"),0)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IFERROR(__xludf.DUMMYFUNCTION("IMPORTRANGE(""https://docs.google.com/spreadsheets/d/1eHaY18a8A9IcSdp1K8H6x8fbOy06t2VsZHhMHf-1x7Y/edit?usp=sharing"",""แผน!LV23"")"),56000)</f>
        <v>56000</v>
      </c>
      <c r="R206" s="45"/>
      <c r="S206" s="737">
        <v>55840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IFERROR(__xludf.DUMMYFUNCTION("IMPORTRANGE(""https://docs.google.com/spreadsheets/d/1eHaY18a8A9IcSdp1K8H6x8fbOy06t2VsZHhMHf-1x7Y/edit?usp=sharing"",""แผน!AJ23"")"),21000)</f>
        <v>21000</v>
      </c>
      <c r="M207" s="45"/>
      <c r="N207" s="737">
        <v>12000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IFERROR(__xludf.DUMMYFUNCTION("IMPORTRANGE(""https://docs.google.com/spreadsheets/d/1eHaY18a8A9IcSdp1K8H6x8fbOy06t2VsZHhMHf-1x7Y/edit?usp=sharing"",""แผน!AK23"")"),4)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IFERROR(__xludf.DUMMYFUNCTION("IMPORTRANGE(""https://docs.google.com/spreadsheets/d/1eHaY18a8A9IcSdp1K8H6x8fbOy06t2VsZHhMHf-1x7Y/edit?usp=sharing"",""แผน!JX23"")"),4)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IFERROR(__xludf.DUMMYFUNCTION("IMPORTRANGE(""https://docs.google.com/spreadsheets/d/1eHaY18a8A9IcSdp1K8H6x8fbOy06t2VsZHhMHf-1x7Y/edit?usp=sharing"",""แผน!JY23"")"),1)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2</v>
      </c>
      <c r="J213" s="302">
        <f>J220</f>
        <v>2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12000</v>
      </c>
      <c r="M214" s="45"/>
      <c r="N214" s="547">
        <f>N215+N216+N217</f>
        <v>11710</v>
      </c>
      <c r="O214" s="547">
        <f ca="1">IF(L214&gt;0,N214*100/L214,0)</f>
        <v>97.583333333333329</v>
      </c>
      <c r="P214" s="547">
        <f>IF(M214&gt;0,N214*100/M214,0)</f>
        <v>0</v>
      </c>
      <c r="Q214" s="548">
        <f ca="1">Q215+Q216+Q217</f>
        <v>99400</v>
      </c>
      <c r="R214" s="45"/>
      <c r="S214" s="547">
        <f>S215+S216+S217</f>
        <v>99400</v>
      </c>
      <c r="T214" s="547">
        <f ca="1">IF(Q214&gt;0,S214*100/Q214,0)</f>
        <v>100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IFERROR(__xludf.DUMMYFUNCTION("IMPORTRANGE(""https://docs.google.com/spreadsheets/d/1eHaY18a8A9IcSdp1K8H6x8fbOy06t2VsZHhMHf-1x7Y/edit?usp=sharing"",""แผน!AM23"")"),2000)</f>
        <v>2000</v>
      </c>
      <c r="M215" s="45"/>
      <c r="N215" s="737">
        <v>1710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IFERROR(__xludf.DUMMYFUNCTION("IMPORTRANGE(""https://docs.google.com/spreadsheets/d/1eHaY18a8A9IcSdp1K8H6x8fbOy06t2VsZHhMHf-1x7Y/edit?usp=sharing"",""แผน!AN23"")"),10000)</f>
        <v>10000</v>
      </c>
      <c r="M216" s="45"/>
      <c r="N216" s="737">
        <v>10000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IFERROR(__xludf.DUMMYFUNCTION("IMPORTRANGE(""https://docs.google.com/spreadsheets/d/1eHaY18a8A9IcSdp1K8H6x8fbOy06t2VsZHhMHf-1x7Y/edit?usp=sharing"",""แผน!AO23"")"),0)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IFERROR(__xludf.DUMMYFUNCTION("IMPORTRANGE(""https://docs.google.com/spreadsheets/d/1eHaY18a8A9IcSdp1K8H6x8fbOy06t2VsZHhMHf-1x7Y/edit?usp=sharing"",""แผน!LY23"")"),99400)</f>
        <v>99400</v>
      </c>
      <c r="R217" s="45"/>
      <c r="S217" s="737">
        <v>99400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IFERROR(__xludf.DUMMYFUNCTION("IMPORTRANGE(""https://docs.google.com/spreadsheets/d/1eHaY18a8A9IcSdp1K8H6x8fbOy06t2VsZHhMHf-1x7Y/edit?usp=sharing"",""แผน!AP23"")"),2)</f>
        <v>2</v>
      </c>
      <c r="J219" s="380">
        <v>2</v>
      </c>
      <c r="K219" s="224">
        <f ca="1">IF(I219&gt;0,J219*100/I219,0)</f>
        <v>100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IFERROR(__xludf.DUMMYFUNCTION("IMPORTRANGE(""https://docs.google.com/spreadsheets/d/1eHaY18a8A9IcSdp1K8H6x8fbOy06t2VsZHhMHf-1x7Y/edit?usp=sharing"",""แผน!AP23"")"),2)</f>
        <v>2</v>
      </c>
      <c r="J220" s="380">
        <v>2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128000</v>
      </c>
      <c r="J221" s="302">
        <f>J229</f>
        <v>128000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16500</v>
      </c>
      <c r="M222" s="45"/>
      <c r="N222" s="547">
        <f>N223+N224+N225</f>
        <v>16500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IFERROR(__xludf.DUMMYFUNCTION("IMPORTRANGE(""https://docs.google.com/spreadsheets/d/1eHaY18a8A9IcSdp1K8H6x8fbOy06t2VsZHhMHf-1x7Y/edit?usp=sharing"",""แผน!AR23"")"),2500)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IFERROR(__xludf.DUMMYFUNCTION("IMPORTRANGE(""https://docs.google.com/spreadsheets/d/1eHaY18a8A9IcSdp1K8H6x8fbOy06t2VsZHhMHf-1x7Y/edit?usp=sharing"",""แผน!AS23"")"),14000)</f>
        <v>14000</v>
      </c>
      <c r="M224" s="45"/>
      <c r="N224" s="737">
        <v>14000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IFERROR(__xludf.DUMMYFUNCTION("IMPORTRANGE(""https://docs.google.com/spreadsheets/d/1eHaY18a8A9IcSdp1K8H6x8fbOy06t2VsZHhMHf-1x7Y/edit?usp=sharing"",""แผน!AT23"")"),0)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IFERROR(__xludf.DUMMYFUNCTION("IMPORTRANGE(""https://docs.google.com/spreadsheets/d/1eHaY18a8A9IcSdp1K8H6x8fbOy06t2VsZHhMHf-1x7Y/edit?usp=sharing"",""แผน!AV23"")"),128000)</f>
        <v>128000</v>
      </c>
      <c r="J228" s="380">
        <v>128000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IFERROR(__xludf.DUMMYFUNCTION("IMPORTRANGE(""https://docs.google.com/spreadsheets/d/1eHaY18a8A9IcSdp1K8H6x8fbOy06t2VsZHhMHf-1x7Y/edit?usp=sharing"",""แผน!AV23"")"),128000)</f>
        <v>128000</v>
      </c>
      <c r="J229" s="380">
        <v>128000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IFERROR(__xludf.DUMMYFUNCTION("IMPORTRANGE(""https://docs.google.com/spreadsheets/d/1eHaY18a8A9IcSdp1K8H6x8fbOy06t2VsZHhMHf-1x7Y/edit?usp=sharing"",""แผน!AU23"")"),0)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45">
        <f>Q243+Q254</f>
        <v>0</v>
      </c>
      <c r="R232" s="45">
        <f>R243+R254</f>
        <v>0</v>
      </c>
      <c r="S232" s="45">
        <f>S243+S254</f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743">
        <v>0</v>
      </c>
      <c r="R243" s="743">
        <v>0</v>
      </c>
      <c r="S243" s="743">
        <v>0</v>
      </c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IFERROR(__xludf.DUMMYFUNCTION("IMPORTRANGE(""https://docs.google.com/spreadsheets/d/1eHaY18a8A9IcSdp1K8H6x8fbOy06t2VsZHhMHf-1x7Y/edit?usp=sharing"",""แผน!AX23"")"),0)</f>
        <v>0</v>
      </c>
      <c r="M244" s="45"/>
      <c r="N244" s="737">
        <v>0</v>
      </c>
      <c r="O244" s="45"/>
      <c r="P244" s="45"/>
      <c r="Q244" s="743">
        <v>0</v>
      </c>
      <c r="R244" s="743">
        <v>0</v>
      </c>
      <c r="S244" s="743">
        <v>0</v>
      </c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IFERROR(__xludf.DUMMYFUNCTION("IMPORTRANGE(""https://docs.google.com/spreadsheets/d/1eHaY18a8A9IcSdp1K8H6x8fbOy06t2VsZHhMHf-1x7Y/edit?usp=sharing"",""แผน!AY23"")"),0)</f>
        <v>0</v>
      </c>
      <c r="M245" s="45"/>
      <c r="N245" s="737">
        <v>0</v>
      </c>
      <c r="O245" s="45"/>
      <c r="P245" s="45"/>
      <c r="Q245" s="743">
        <v>0</v>
      </c>
      <c r="R245" s="743">
        <v>0</v>
      </c>
      <c r="S245" s="743">
        <v>0</v>
      </c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IFERROR(__xludf.DUMMYFUNCTION("IMPORTRANGE(""https://docs.google.com/spreadsheets/d/1eHaY18a8A9IcSdp1K8H6x8fbOy06t2VsZHhMHf-1x7Y/edit?usp=sharing"",""แผน!AZ23"")"),0)</f>
        <v>0</v>
      </c>
      <c r="M246" s="45"/>
      <c r="N246" s="737">
        <v>0</v>
      </c>
      <c r="O246" s="45"/>
      <c r="P246" s="45"/>
      <c r="Q246" s="743">
        <v>0</v>
      </c>
      <c r="R246" s="743">
        <v>0</v>
      </c>
      <c r="S246" s="743">
        <v>0</v>
      </c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IFERROR(__xludf.DUMMYFUNCTION("IMPORTRANGE(""https://docs.google.com/spreadsheets/d/1eHaY18a8A9IcSdp1K8H6x8fbOy06t2VsZHhMHf-1x7Y/edit?usp=sharing"",""แผน!BA23"")"),0)</f>
        <v>0</v>
      </c>
      <c r="M247" s="45"/>
      <c r="N247" s="737">
        <v>0</v>
      </c>
      <c r="O247" s="45"/>
      <c r="P247" s="45"/>
      <c r="Q247" s="743">
        <v>0</v>
      </c>
      <c r="R247" s="743">
        <v>0</v>
      </c>
      <c r="S247" s="743">
        <v>0</v>
      </c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IFERROR(__xludf.DUMMYFUNCTION("IMPORTRANGE(""https://docs.google.com/spreadsheets/d/1eHaY18a8A9IcSdp1K8H6x8fbOy06t2VsZHhMHf-1x7Y/edit?usp=sharing"",""แผน!BG23"")"),0)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743">
        <v>0</v>
      </c>
      <c r="R254" s="743">
        <v>0</v>
      </c>
      <c r="S254" s="743">
        <v>0</v>
      </c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IFERROR(__xludf.DUMMYFUNCTION("IMPORTRANGE(""https://docs.google.com/spreadsheets/d/1eHaY18a8A9IcSdp1K8H6x8fbOy06t2VsZHhMHf-1x7Y/edit?usp=sharing"",""แผน!BB23"")"),0)</f>
        <v>0</v>
      </c>
      <c r="M255" s="45"/>
      <c r="N255" s="737">
        <v>0</v>
      </c>
      <c r="O255" s="45"/>
      <c r="P255" s="45"/>
      <c r="Q255" s="743">
        <v>0</v>
      </c>
      <c r="R255" s="743">
        <v>0</v>
      </c>
      <c r="S255" s="743">
        <v>0</v>
      </c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IFERROR(__xludf.DUMMYFUNCTION("IMPORTRANGE(""https://docs.google.com/spreadsheets/d/1eHaY18a8A9IcSdp1K8H6x8fbOy06t2VsZHhMHf-1x7Y/edit?usp=sharing"",""แผน!BC23"")"),0)</f>
        <v>0</v>
      </c>
      <c r="M256" s="45"/>
      <c r="N256" s="737">
        <v>0</v>
      </c>
      <c r="O256" s="45"/>
      <c r="P256" s="45"/>
      <c r="Q256" s="743">
        <v>0</v>
      </c>
      <c r="R256" s="743">
        <v>0</v>
      </c>
      <c r="S256" s="743">
        <v>0</v>
      </c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IFERROR(__xludf.DUMMYFUNCTION("IMPORTRANGE(""https://docs.google.com/spreadsheets/d/1eHaY18a8A9IcSdp1K8H6x8fbOy06t2VsZHhMHf-1x7Y/edit?usp=sharing"",""แผน!BD23"")"),0)</f>
        <v>0</v>
      </c>
      <c r="M257" s="45"/>
      <c r="N257" s="737">
        <v>0</v>
      </c>
      <c r="O257" s="45"/>
      <c r="P257" s="45"/>
      <c r="Q257" s="743">
        <v>0</v>
      </c>
      <c r="R257" s="743">
        <v>0</v>
      </c>
      <c r="S257" s="743">
        <v>0</v>
      </c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IFERROR(__xludf.DUMMYFUNCTION("IMPORTRANGE(""https://docs.google.com/spreadsheets/d/1eHaY18a8A9IcSdp1K8H6x8fbOy06t2VsZHhMHf-1x7Y/edit?usp=sharing"",""แผน!BE23"")"),0)</f>
        <v>0</v>
      </c>
      <c r="M258" s="45"/>
      <c r="N258" s="737">
        <v>0</v>
      </c>
      <c r="O258" s="45"/>
      <c r="P258" s="45"/>
      <c r="Q258" s="743">
        <v>0</v>
      </c>
      <c r="R258" s="743">
        <v>0</v>
      </c>
      <c r="S258" s="743">
        <v>0</v>
      </c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IFERROR(__xludf.DUMMYFUNCTION("IMPORTRANGE(""https://docs.google.com/spreadsheets/d/1eHaY18a8A9IcSdp1K8H6x8fbOy06t2VsZHhMHf-1x7Y/edit?usp=sharing"",""แผน!BH23"")"),0)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53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50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548">
        <f ca="1">L267+L268</f>
        <v>5000</v>
      </c>
      <c r="M266" s="547">
        <f ca="1">M267+M268</f>
        <v>19100</v>
      </c>
      <c r="N266" s="547">
        <f ca="1">N267+N268</f>
        <v>16505</v>
      </c>
      <c r="O266" s="547">
        <f ca="1">IF(L266&gt;0,N266*100/L266,0)</f>
        <v>330.1</v>
      </c>
      <c r="P266" s="547">
        <f ca="1">IF(M266&gt;0,N266*100/M266,0)</f>
        <v>86.413612565445021</v>
      </c>
      <c r="Q266" s="547">
        <f ca="1">Q267+Q268</f>
        <v>50660</v>
      </c>
      <c r="R266" s="547">
        <f ca="1">R267+R268</f>
        <v>39653.5</v>
      </c>
      <c r="S266" s="547">
        <f ca="1">S267+S268</f>
        <v>39653.5</v>
      </c>
      <c r="T266" s="547">
        <f ca="1">IF(Q266&gt;0,S266*100/Q266,0)</f>
        <v>78.273786024476905</v>
      </c>
      <c r="U266" s="547">
        <f ca="1">IF(R266&gt;0,S266*100/R266,0)</f>
        <v>100</v>
      </c>
    </row>
    <row r="267" spans="1:21" ht="18.75" hidden="1" x14ac:dyDescent="0.25">
      <c r="A267" s="128"/>
      <c r="B267" s="40"/>
      <c r="C267" s="40"/>
      <c r="D267" s="40"/>
      <c r="E267" s="156" t="s">
        <v>20</v>
      </c>
      <c r="F267" s="40"/>
      <c r="G267" s="42"/>
      <c r="H267" s="157" t="s">
        <v>14</v>
      </c>
      <c r="I267" s="44"/>
      <c r="J267" s="44"/>
      <c r="K267" s="45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545">
        <f ca="1">L271+L274</f>
        <v>5000</v>
      </c>
      <c r="M268" s="224">
        <f ca="1">M271+M274</f>
        <v>19100</v>
      </c>
      <c r="N268" s="224">
        <f ca="1">N271+N274</f>
        <v>16505</v>
      </c>
      <c r="O268" s="224">
        <f ca="1">IF(L268&gt;0,N268*100/L268,0)</f>
        <v>330.1</v>
      </c>
      <c r="P268" s="224">
        <f ca="1">IF(M268&gt;0,N268*100/M268,0)</f>
        <v>86.413612565445021</v>
      </c>
      <c r="Q268" s="224">
        <f ca="1">Q271+Q274</f>
        <v>50660</v>
      </c>
      <c r="R268" s="224">
        <f ca="1">R271+R274</f>
        <v>39653.5</v>
      </c>
      <c r="S268" s="224">
        <f ca="1">S271+S274</f>
        <v>39653.5</v>
      </c>
      <c r="T268" s="224">
        <f ca="1">IF(Q268&gt;0,S268*100/Q268,0)</f>
        <v>78.273786024476905</v>
      </c>
      <c r="U268" s="224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545">
        <f ca="1">L270+L271</f>
        <v>5000</v>
      </c>
      <c r="M269" s="224">
        <f ca="1">M270+M271</f>
        <v>19100</v>
      </c>
      <c r="N269" s="224">
        <f ca="1">N270+N271</f>
        <v>16505</v>
      </c>
      <c r="O269" s="224">
        <f ca="1">IF(L269&gt;0,N269*100/L269,0)</f>
        <v>330.1</v>
      </c>
      <c r="P269" s="224">
        <f ca="1">IF(M269&gt;0,N269*100/M269,0)</f>
        <v>86.413612565445021</v>
      </c>
      <c r="Q269" s="224">
        <f ca="1">Q270+Q271</f>
        <v>50660</v>
      </c>
      <c r="R269" s="224">
        <f ca="1">R270+R271</f>
        <v>39653.5</v>
      </c>
      <c r="S269" s="224">
        <f ca="1">S270+S271</f>
        <v>39653.5</v>
      </c>
      <c r="T269" s="224">
        <f ca="1">IF(Q269&gt;0,S269*100/Q269,0)</f>
        <v>78.273786024476905</v>
      </c>
      <c r="U269" s="224">
        <f ca="1">IF(R269&gt;0,S269*100/R269,0)</f>
        <v>100</v>
      </c>
    </row>
    <row r="270" spans="1:21" ht="18.75" hidden="1" x14ac:dyDescent="0.25">
      <c r="A270" s="128"/>
      <c r="B270" s="40"/>
      <c r="C270" s="40"/>
      <c r="D270" s="40"/>
      <c r="E270" s="156" t="s">
        <v>36</v>
      </c>
      <c r="F270" s="40"/>
      <c r="G270" s="42"/>
      <c r="H270" s="159" t="s">
        <v>14</v>
      </c>
      <c r="I270" s="135"/>
      <c r="J270" s="135"/>
      <c r="K270" s="136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545">
        <f ca="1">IFERROR(__xludf.DUMMYFUNCTION("IMPORTRANGE(""https://docs.google.com/spreadsheets/d/1-uDff_7J0KD5mKrp0Vvzr7lt3OU09vwQwhkpOPPYv2Y/edit?usp=sharing"",""งบพรบ!DE23"")"),5000)</f>
        <v>5000</v>
      </c>
      <c r="M271" s="224">
        <f ca="1">IFERROR(__xludf.DUMMYFUNCTION("IMPORTRANGE(""https://docs.google.com/spreadsheets/d/1-uDff_7J0KD5mKrp0Vvzr7lt3OU09vwQwhkpOPPYv2Y/edit?usp=sharing"",""งบพรบ!DJ23"")"),19100)</f>
        <v>19100</v>
      </c>
      <c r="N271" s="224">
        <f ca="1">IFERROR(__xludf.DUMMYFUNCTION("IMPORTRANGE(""https://docs.google.com/spreadsheets/d/1-uDff_7J0KD5mKrp0Vvzr7lt3OU09vwQwhkpOPPYv2Y/edit?usp=sharing"",""งบพรบ!DL23"")"),16505)</f>
        <v>16505</v>
      </c>
      <c r="O271" s="224">
        <f ca="1">IF(L271&gt;0,N271*100/L271,0)</f>
        <v>330.1</v>
      </c>
      <c r="P271" s="224">
        <f ca="1">IF(M271&gt;0,N271*100/M271,0)</f>
        <v>86.413612565445021</v>
      </c>
      <c r="Q271" s="224">
        <f ca="1">IFERROR(__xludf.DUMMYFUNCTION("IMPORTRANGE(""https://docs.google.com/spreadsheets/d/1ItG2mGa2ceCfYo0BwxsXqNm01IGEUdYcSSLTEv9YCik/edit?usp=sharing"",""เบิกจ่ายกองทุน!AP23"")"),50660)</f>
        <v>50660</v>
      </c>
      <c r="R271" s="224">
        <f ca="1">IFERROR(__xludf.DUMMYFUNCTION("IMPORTRANGE(""https://docs.google.com/spreadsheets/d/1ItG2mGa2ceCfYo0BwxsXqNm01IGEUdYcSSLTEv9YCik/edit?usp=sharing"",""เบิกจ่ายกองทุน!AQ23"")"),39653.5)</f>
        <v>39653.5</v>
      </c>
      <c r="S271" s="224">
        <f ca="1">IFERROR(__xludf.DUMMYFUNCTION("IMPORTRANGE(""https://docs.google.com/spreadsheets/d/1ItG2mGa2ceCfYo0BwxsXqNm01IGEUdYcSSLTEv9YCik/edit?usp=sharing"",""เบิกจ่ายกองทุน!AR23"")"),39653.5)</f>
        <v>39653.5</v>
      </c>
      <c r="T271" s="224">
        <f ca="1">IF(Q271&gt;0,S271*100/Q271,0)</f>
        <v>78.273786024476905</v>
      </c>
      <c r="U271" s="224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545">
        <f ca="1">L273+L274</f>
        <v>0</v>
      </c>
      <c r="M272" s="224">
        <f ca="1">M273+M274</f>
        <v>0</v>
      </c>
      <c r="N272" s="224">
        <f ca="1">N273+N274</f>
        <v>0</v>
      </c>
      <c r="O272" s="224">
        <f ca="1">IF(L272&gt;0,N272*100/L272,0)</f>
        <v>0</v>
      </c>
      <c r="P272" s="224">
        <f ca="1">IF(M272&gt;0,N272*100/M272,0)</f>
        <v>0</v>
      </c>
      <c r="Q272" s="224">
        <f>Q273+Q274</f>
        <v>0</v>
      </c>
      <c r="R272" s="224">
        <f>R273+R274</f>
        <v>0</v>
      </c>
      <c r="S272" s="224">
        <f>S273+S274</f>
        <v>0</v>
      </c>
      <c r="T272" s="224">
        <f>IF(Q272&gt;0,S272*100/Q272,0)</f>
        <v>0</v>
      </c>
      <c r="U272" s="224">
        <f>IF(R272&gt;0,S272*100/R272,0)</f>
        <v>0</v>
      </c>
    </row>
    <row r="273" spans="1:21" ht="18.75" hidden="1" x14ac:dyDescent="0.25">
      <c r="A273" s="128"/>
      <c r="B273" s="40"/>
      <c r="C273" s="40"/>
      <c r="D273" s="40"/>
      <c r="E273" s="156" t="s">
        <v>20</v>
      </c>
      <c r="F273" s="40"/>
      <c r="G273" s="42"/>
      <c r="H273" s="159" t="s">
        <v>14</v>
      </c>
      <c r="I273" s="135"/>
      <c r="J273" s="135"/>
      <c r="K273" s="136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545">
        <f ca="1">IFERROR(__xludf.DUMMYFUNCTION("IMPORTRANGE(""https://docs.google.com/spreadsheets/d/1-uDff_7J0KD5mKrp0Vvzr7lt3OU09vwQwhkpOPPYv2Y/edit?usp=sharing"",""งบพรบ!DH23"")"),0)</f>
        <v>0</v>
      </c>
      <c r="M274" s="224">
        <f ca="1">IFERROR(__xludf.DUMMYFUNCTION("IMPORTRANGE(""https://docs.google.com/spreadsheets/d/1-uDff_7J0KD5mKrp0Vvzr7lt3OU09vwQwhkpOPPYv2Y/edit?usp=sharing"",""งบพรบ!DK23"")"),0)</f>
        <v>0</v>
      </c>
      <c r="N274" s="224">
        <f ca="1">IFERROR(__xludf.DUMMYFUNCTION("IMPORTRANGE(""https://docs.google.com/spreadsheets/d/1-uDff_7J0KD5mKrp0Vvzr7lt3OU09vwQwhkpOPPYv2Y/edit?usp=sharing"",""งบพรบ!DM23"")"),0)</f>
        <v>0</v>
      </c>
      <c r="O274" s="224">
        <f ca="1">IF(L274&gt;0,N274*100/L274,0)</f>
        <v>0</v>
      </c>
      <c r="P274" s="224">
        <f ca="1">IF(M274&gt;0,N274*100/M274,0)</f>
        <v>0</v>
      </c>
      <c r="Q274" s="224">
        <v>0</v>
      </c>
      <c r="R274" s="224">
        <v>0</v>
      </c>
      <c r="S274" s="224">
        <v>0</v>
      </c>
      <c r="T274" s="224">
        <f>IF(Q274&gt;0,S274*100/Q274,0)</f>
        <v>0</v>
      </c>
      <c r="U274" s="224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563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IFERROR(__xludf.DUMMYFUNCTION("IMPORTRANGE(""https://docs.google.com/spreadsheets/d/1eHaY18a8A9IcSdp1K8H6x8fbOy06t2VsZHhMHf-1x7Y/edit?usp=sharing"",""แผน!EC23"")"),22)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70</v>
      </c>
      <c r="J280" s="697">
        <f>J293</f>
        <v>70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700</v>
      </c>
      <c r="J281" s="697">
        <f>J292</f>
        <v>700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265720</v>
      </c>
      <c r="M282" s="547">
        <f ca="1">M283+M284</f>
        <v>275230</v>
      </c>
      <c r="N282" s="547">
        <f ca="1">N283+N284</f>
        <v>249286.3</v>
      </c>
      <c r="O282" s="547">
        <f ca="1">IF(L282&gt;0,N282*100/L282,0)</f>
        <v>93.815407195544182</v>
      </c>
      <c r="P282" s="547">
        <f ca="1">IF(M282&gt;0,N282*100/M282,0)</f>
        <v>90.573810994441018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265720</v>
      </c>
      <c r="M284" s="224">
        <f ca="1">M287+M290</f>
        <v>275230</v>
      </c>
      <c r="N284" s="224">
        <f ca="1">N287+N290</f>
        <v>249286.3</v>
      </c>
      <c r="O284" s="224">
        <f ca="1">IF(L284&gt;0,N284*100/L284,0)</f>
        <v>93.815407195544182</v>
      </c>
      <c r="P284" s="224">
        <f ca="1">IF(M284&gt;0,N284*100/M284,0)</f>
        <v>90.573810994441018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265720</v>
      </c>
      <c r="M285" s="224">
        <f ca="1">M286+M287</f>
        <v>275230</v>
      </c>
      <c r="N285" s="224">
        <f ca="1">N286+N287</f>
        <v>249286.3</v>
      </c>
      <c r="O285" s="224">
        <f ca="1">IF(L285&gt;0,N285*100/L285,0)</f>
        <v>93.815407195544182</v>
      </c>
      <c r="P285" s="224">
        <f ca="1">IF(M285&gt;0,N285*100/M285,0)</f>
        <v>90.573810994441018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IFERROR(__xludf.DUMMYFUNCTION("IMPORTRANGE(""https://docs.google.com/spreadsheets/d/1-uDff_7J0KD5mKrp0Vvzr7lt3OU09vwQwhkpOPPYv2Y/edit?usp=sharing"",""งบพรบ!DO23"")"),265720)</f>
        <v>265720</v>
      </c>
      <c r="M287" s="224">
        <f ca="1">IFERROR(__xludf.DUMMYFUNCTION("IMPORTRANGE(""https://docs.google.com/spreadsheets/d/1-uDff_7J0KD5mKrp0Vvzr7lt3OU09vwQwhkpOPPYv2Y/edit?usp=sharing"",""งบพรบ!DT23"")"),275230)</f>
        <v>275230</v>
      </c>
      <c r="N287" s="224">
        <f ca="1">IFERROR(__xludf.DUMMYFUNCTION("IMPORTRANGE(""https://docs.google.com/spreadsheets/d/1-uDff_7J0KD5mKrp0Vvzr7lt3OU09vwQwhkpOPPYv2Y/edit?usp=sharing"",""งบพรบ!DV23"")"),249286.3)</f>
        <v>249286.3</v>
      </c>
      <c r="O287" s="224">
        <f ca="1">IF(L287&gt;0,N287*100/L287,0)</f>
        <v>93.815407195544182</v>
      </c>
      <c r="P287" s="224">
        <f ca="1">IF(M287&gt;0,N287*100/M287,0)</f>
        <v>90.573810994441018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IFERROR(__xludf.DUMMYFUNCTION("IMPORTRANGE(""https://docs.google.com/spreadsheets/d/1-uDff_7J0KD5mKrp0Vvzr7lt3OU09vwQwhkpOPPYv2Y/edit?usp=sharing"",""งบพรบ!DR23"")"),0)</f>
        <v>0</v>
      </c>
      <c r="M290" s="224">
        <f ca="1">IFERROR(__xludf.DUMMYFUNCTION("IMPORTRANGE(""https://docs.google.com/spreadsheets/d/1-uDff_7J0KD5mKrp0Vvzr7lt3OU09vwQwhkpOPPYv2Y/edit?usp=sharing"",""งบพรบ!DU23"")"),0)</f>
        <v>0</v>
      </c>
      <c r="N290" s="224">
        <f ca="1">IFERROR(__xludf.DUMMYFUNCTION("IMPORTRANGE(""https://docs.google.com/spreadsheets/d/1-uDff_7J0KD5mKrp0Vvzr7lt3OU09vwQwhkpOPPYv2Y/edit?usp=sharing"",""งบพรบ!DW23"")"),0)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IFERROR(__xludf.DUMMYFUNCTION("IMPORTRANGE(""https://docs.google.com/spreadsheets/d/1eHaY18a8A9IcSdp1K8H6x8fbOy06t2VsZHhMHf-1x7Y/edit?usp=sharing"",""แผน!EE23"")"),700)</f>
        <v>700</v>
      </c>
      <c r="J292" s="380">
        <v>700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IFERROR(__xludf.DUMMYFUNCTION("IMPORTRANGE(""https://docs.google.com/spreadsheets/d/1eHaY18a8A9IcSdp1K8H6x8fbOy06t2VsZHhMHf-1x7Y/edit?usp=sharing"",""แผน!ED23"")"),70)</f>
        <v>70</v>
      </c>
      <c r="J293" s="338">
        <f>J296</f>
        <v>70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IFERROR(__xludf.DUMMYFUNCTION("IMPORTRANGE(""https://docs.google.com/spreadsheets/d/1eHaY18a8A9IcSdp1K8H6x8fbOy06t2VsZHhMHf-1x7Y/edit?usp=sharing"",""แผน!ED23"")"),70)</f>
        <v>70</v>
      </c>
      <c r="J295" s="380">
        <v>70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IFERROR(__xludf.DUMMYFUNCTION("IMPORTRANGE(""https://docs.google.com/spreadsheets/d/1eHaY18a8A9IcSdp1K8H6x8fbOy06t2VsZHhMHf-1x7Y/edit?usp=sharing"",""แผน!ED23"")"),70)</f>
        <v>70</v>
      </c>
      <c r="J296" s="380">
        <v>70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IFERROR(__xludf.DUMMYFUNCTION("IMPORTRANGE(""https://docs.google.com/spreadsheets/d/1eHaY18a8A9IcSdp1K8H6x8fbOy06t2VsZHhMHf-1x7Y/edit?usp=sharing"",""แผน!ED23"")"),70)</f>
        <v>70</v>
      </c>
      <c r="J298" s="380">
        <v>70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IFERROR(__xludf.DUMMYFUNCTION("IMPORTRANGE(""https://docs.google.com/spreadsheets/d/1eHaY18a8A9IcSdp1K8H6x8fbOy06t2VsZHhMHf-1x7Y/edit?usp=sharing"",""แผน!ED23"")"),70)</f>
        <v>70</v>
      </c>
      <c r="J299" s="380">
        <v>70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205800</v>
      </c>
      <c r="M303" s="547">
        <f ca="1">M304+M305</f>
        <v>205800</v>
      </c>
      <c r="N303" s="547">
        <f ca="1">N304+N305</f>
        <v>193005</v>
      </c>
      <c r="O303" s="547">
        <f ca="1">IF(L303&gt;0,N303*100/L303,0)</f>
        <v>93.782798833819243</v>
      </c>
      <c r="P303" s="547">
        <f ca="1">IF(M303&gt;0,N303*100/M303,0)</f>
        <v>93.782798833819243</v>
      </c>
      <c r="Q303" s="547">
        <f ca="1">Q304+Q305</f>
        <v>166057.24</v>
      </c>
      <c r="R303" s="547">
        <f ca="1">R304+R305</f>
        <v>170257</v>
      </c>
      <c r="S303" s="547">
        <f ca="1">S304+S305</f>
        <v>163970</v>
      </c>
      <c r="T303" s="547">
        <f ca="1">IF(Q303&gt;0,S303*100/Q303,0)</f>
        <v>98.74305992319276</v>
      </c>
      <c r="U303" s="547">
        <f ca="1">IF(R303&gt;0,S303*100/R303,0)</f>
        <v>96.307347128165063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205800</v>
      </c>
      <c r="M305" s="224">
        <f ca="1">M308+M311</f>
        <v>205800</v>
      </c>
      <c r="N305" s="224">
        <f ca="1">N308+N311</f>
        <v>193005</v>
      </c>
      <c r="O305" s="224">
        <f ca="1">IF(L305&gt;0,N305*100/L305,0)</f>
        <v>93.782798833819243</v>
      </c>
      <c r="P305" s="224">
        <f ca="1">IF(M305&gt;0,N305*100/M305,0)</f>
        <v>93.782798833819243</v>
      </c>
      <c r="Q305" s="224">
        <f ca="1">Q308+Q311</f>
        <v>166057.24</v>
      </c>
      <c r="R305" s="224">
        <f ca="1">R308+R311</f>
        <v>170257</v>
      </c>
      <c r="S305" s="224">
        <f ca="1">S308+S311</f>
        <v>163970</v>
      </c>
      <c r="T305" s="224">
        <f ca="1">IF(Q305&gt;0,S305*100/Q305,0)</f>
        <v>98.74305992319276</v>
      </c>
      <c r="U305" s="224">
        <f ca="1">IF(R305&gt;0,S305*100/R305,0)</f>
        <v>96.307347128165063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205800</v>
      </c>
      <c r="M306" s="224">
        <f ca="1">M307+M308</f>
        <v>205800</v>
      </c>
      <c r="N306" s="224">
        <f ca="1">N307+N308</f>
        <v>193005</v>
      </c>
      <c r="O306" s="224">
        <f ca="1">IF(L306&gt;0,N306*100/L306,0)</f>
        <v>93.782798833819243</v>
      </c>
      <c r="P306" s="224">
        <f ca="1">IF(M306&gt;0,N306*100/M306,0)</f>
        <v>93.782798833819243</v>
      </c>
      <c r="Q306" s="224">
        <f ca="1">Q307+Q308</f>
        <v>166057.24</v>
      </c>
      <c r="R306" s="224">
        <f ca="1">R307+R308</f>
        <v>170257</v>
      </c>
      <c r="S306" s="224">
        <f ca="1">S307+S308</f>
        <v>163970</v>
      </c>
      <c r="T306" s="224">
        <f ca="1">IF(Q306&gt;0,S306*100/Q306,0)</f>
        <v>98.74305992319276</v>
      </c>
      <c r="U306" s="224">
        <f ca="1">IF(R306&gt;0,S306*100/R306,0)</f>
        <v>96.307347128165063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IFERROR(__xludf.DUMMYFUNCTION("IMPORTRANGE(""https://docs.google.com/spreadsheets/d/1-uDff_7J0KD5mKrp0Vvzr7lt3OU09vwQwhkpOPPYv2Y/edit?usp=sharing"",""งบพรบ!DY23"")"),205800)</f>
        <v>205800</v>
      </c>
      <c r="M308" s="224">
        <f ca="1">IFERROR(__xludf.DUMMYFUNCTION("IMPORTRANGE(""https://docs.google.com/spreadsheets/d/1-uDff_7J0KD5mKrp0Vvzr7lt3OU09vwQwhkpOPPYv2Y/edit?usp=sharing"",""งบพรบ!ED23"")"),205800)</f>
        <v>205800</v>
      </c>
      <c r="N308" s="224">
        <f ca="1">IFERROR(__xludf.DUMMYFUNCTION("IMPORTRANGE(""https://docs.google.com/spreadsheets/d/1-uDff_7J0KD5mKrp0Vvzr7lt3OU09vwQwhkpOPPYv2Y/edit?usp=sharing"",""งบพรบ!EF23"")"),193005)</f>
        <v>193005</v>
      </c>
      <c r="O308" s="224">
        <f ca="1">IF(L308&gt;0,N308*100/L308,0)</f>
        <v>93.782798833819243</v>
      </c>
      <c r="P308" s="224">
        <f ca="1">IF(M308&gt;0,N308*100/M308,0)</f>
        <v>93.782798833819243</v>
      </c>
      <c r="Q308" s="224">
        <f ca="1">IFERROR(__xludf.DUMMYFUNCTION("IMPORTRANGE(""https://docs.google.com/spreadsheets/d/1ItG2mGa2ceCfYo0BwxsXqNm01IGEUdYcSSLTEv9YCik/edit?usp=sharing"",""เบิกจ่ายกองทุน!BB23"")"),166057.24)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IFERROR(__xludf.DUMMYFUNCTION("IMPORTRANGE(""https://docs.google.com/spreadsheets/d/1ItG2mGa2ceCfYo0BwxsXqNm01IGEUdYcSSLTEv9YCik/edit?usp=sharing"",""เบิกจ่ายกองทุน!BC23"")"),170257)</f>
        <v>170257</v>
      </c>
      <c r="S308" s="224">
        <f ca="1">IFERROR(__xludf.DUMMYFUNCTION("IMPORTRANGE(""https://docs.google.com/spreadsheets/d/1ItG2mGa2ceCfYo0BwxsXqNm01IGEUdYcSSLTEv9YCik/edit?usp=sharing"",""เบิกจ่ายกองทุน!BD23"")"),163970)</f>
        <v>163970</v>
      </c>
      <c r="T308" s="224">
        <f ca="1">IF(Q308&gt;0,S308*100/Q308,0)</f>
        <v>98.74305992319276</v>
      </c>
      <c r="U308" s="224">
        <f ca="1">IF(R308&gt;0,S308*100/R308,0)</f>
        <v>96.307347128165063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IFERROR(__xludf.DUMMYFUNCTION("IMPORTRANGE(""https://docs.google.com/spreadsheets/d/1-uDff_7J0KD5mKrp0Vvzr7lt3OU09vwQwhkpOPPYv2Y/edit?usp=sharing"",""งบพรบ!EB23"")"),0)</f>
        <v>0</v>
      </c>
      <c r="M311" s="224">
        <f ca="1">IFERROR(__xludf.DUMMYFUNCTION("IMPORTRANGE(""https://docs.google.com/spreadsheets/d/1-uDff_7J0KD5mKrp0Vvzr7lt3OU09vwQwhkpOPPYv2Y/edit?usp=sharing"",""งบพรบ!EE23"")"),0)</f>
        <v>0</v>
      </c>
      <c r="N311" s="224">
        <f ca="1">IFERROR(__xludf.DUMMYFUNCTION("IMPORTRANGE(""https://docs.google.com/spreadsheets/d/1-uDff_7J0KD5mKrp0Vvzr7lt3OU09vwQwhkpOPPYv2Y/edit?usp=sharing"",""งบพรบ!EG23"")"),0)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IFERROR(__xludf.DUMMYFUNCTION("IMPORTRANGE(""https://docs.google.com/spreadsheets/d/1eHaY18a8A9IcSdp1K8H6x8fbOy06t2VsZHhMHf-1x7Y/edit?usp=sharing"",""แผน!EF23"")"),25)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IFERROR(__xludf.DUMMYFUNCTION("IMPORTRANGE(""https://docs.google.com/spreadsheets/d/1-uDff_7J0KD5mKrp0Vvzr7lt3OU09vwQwhkpOPPYv2Y/edit?usp=sharing"",""งบพรบ!EI23"")"),0)</f>
        <v>0</v>
      </c>
      <c r="M325" s="224">
        <f ca="1">IFERROR(__xludf.DUMMYFUNCTION("IMPORTRANGE(""https://docs.google.com/spreadsheets/d/1-uDff_7J0KD5mKrp0Vvzr7lt3OU09vwQwhkpOPPYv2Y/edit?usp=sharing"",""งบพรบ!EN23"")"),0)</f>
        <v>0</v>
      </c>
      <c r="N325" s="224">
        <f ca="1">IFERROR(__xludf.DUMMYFUNCTION("IMPORTRANGE(""https://docs.google.com/spreadsheets/d/1-uDff_7J0KD5mKrp0Vvzr7lt3OU09vwQwhkpOPPYv2Y/edit?usp=sharing"",""งบพรบ!EP23"")"),0)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IFERROR(__xludf.DUMMYFUNCTION("IMPORTRANGE(""https://docs.google.com/spreadsheets/d/1-uDff_7J0KD5mKrp0Vvzr7lt3OU09vwQwhkpOPPYv2Y/edit?usp=sharing"",""งบพรบ!EL23"")"),0)</f>
        <v>0</v>
      </c>
      <c r="M328" s="224">
        <f ca="1">IFERROR(__xludf.DUMMYFUNCTION("IMPORTRANGE(""https://docs.google.com/spreadsheets/d/1-uDff_7J0KD5mKrp0Vvzr7lt3OU09vwQwhkpOPPYv2Y/edit?usp=sharing"",""งบพรบ!EO23"")"),0)</f>
        <v>0</v>
      </c>
      <c r="N328" s="224">
        <f ca="1">IFERROR(__xludf.DUMMYFUNCTION("IMPORTRANGE(""https://docs.google.com/spreadsheets/d/1-uDff_7J0KD5mKrp0Vvzr7lt3OU09vwQwhkpOPPYv2Y/edit?usp=sharing"",""งบพรบ!EQ23"")"),0)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IFERROR(__xludf.DUMMYFUNCTION("IMPORTRANGE(""https://docs.google.com/spreadsheets/d/1eHaY18a8A9IcSdp1K8H6x8fbOy06t2VsZHhMHf-1x7Y/edit?usp=sharing"",""แผน!EJ23"")"),0)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IFERROR(__xludf.DUMMYFUNCTION("IMPORTRANGE(""https://docs.google.com/spreadsheets/d/1eHaY18a8A9IcSdp1K8H6x8fbOy06t2VsZHhMHf-1x7Y/edit?usp=sharing"",""แผน!EK23"")"),7600)</f>
        <v>7600</v>
      </c>
      <c r="J332" s="300">
        <f ca="1">J344+J347+J348+J349+J353+J354</f>
        <v>27246</v>
      </c>
      <c r="K332" s="679">
        <f ca="1">IF(I332&gt;0,J332*100/I332,0)</f>
        <v>358.5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181501</v>
      </c>
      <c r="O333" s="547">
        <f ca="1">IF(L333&gt;0,N333*100/L333,0)</f>
        <v>92.132487309644674</v>
      </c>
      <c r="P333" s="547">
        <f ca="1">IF(M333&gt;0,N333*100/M333,0)</f>
        <v>92.132487309644674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181501</v>
      </c>
      <c r="O335" s="224">
        <f ca="1">IF(L335&gt;0,N335*100/L335,0)</f>
        <v>92.132487309644674</v>
      </c>
      <c r="P335" s="224">
        <f ca="1">IF(M335&gt;0,N335*100/M335,0)</f>
        <v>92.132487309644674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181501</v>
      </c>
      <c r="O336" s="224">
        <f ca="1">IF(L336&gt;0,N336*100/L336,0)</f>
        <v>92.132487309644674</v>
      </c>
      <c r="P336" s="224">
        <f ca="1">IF(M336&gt;0,N336*100/M336,0)</f>
        <v>92.132487309644674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IFERROR(__xludf.DUMMYFUNCTION("IMPORTRANGE(""https://docs.google.com/spreadsheets/d/1-uDff_7J0KD5mKrp0Vvzr7lt3OU09vwQwhkpOPPYv2Y/edit?usp=sharing"",""งบพรบ!ES23"")"),197000)</f>
        <v>197000</v>
      </c>
      <c r="M338" s="224">
        <f ca="1">IFERROR(__xludf.DUMMYFUNCTION("IMPORTRANGE(""https://docs.google.com/spreadsheets/d/1-uDff_7J0KD5mKrp0Vvzr7lt3OU09vwQwhkpOPPYv2Y/edit?usp=sharing"",""งบพรบ!EX23"")"),197000)</f>
        <v>197000</v>
      </c>
      <c r="N338" s="224">
        <f ca="1">IFERROR(__xludf.DUMMYFUNCTION("IMPORTRANGE(""https://docs.google.com/spreadsheets/d/1-uDff_7J0KD5mKrp0Vvzr7lt3OU09vwQwhkpOPPYv2Y/edit?usp=sharing"",""งบพรบ!EZ23"")"),181501)</f>
        <v>181501</v>
      </c>
      <c r="O338" s="224">
        <f ca="1">IF(L338&gt;0,N338*100/L338,0)</f>
        <v>92.132487309644674</v>
      </c>
      <c r="P338" s="224">
        <f ca="1">IF(M338&gt;0,N338*100/M338,0)</f>
        <v>92.132487309644674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IFERROR(__xludf.DUMMYFUNCTION("IMPORTRANGE(""https://docs.google.com/spreadsheets/d/1-uDff_7J0KD5mKrp0Vvzr7lt3OU09vwQwhkpOPPYv2Y/edit?usp=sharing"",""งบพรบ!EV23"")"),0)</f>
        <v>0</v>
      </c>
      <c r="M341" s="224">
        <f ca="1">IFERROR(__xludf.DUMMYFUNCTION("IMPORTRANGE(""https://docs.google.com/spreadsheets/d/1-uDff_7J0KD5mKrp0Vvzr7lt3OU09vwQwhkpOPPYv2Y/edit?usp=sharing"",""งบพรบ!EY23"")"),0)</f>
        <v>0</v>
      </c>
      <c r="N341" s="224">
        <f ca="1">IFERROR(__xludf.DUMMYFUNCTION("IMPORTRANGE(""https://docs.google.com/spreadsheets/d/1-uDff_7J0KD5mKrp0Vvzr7lt3OU09vwQwhkpOPPYv2Y/edit?usp=sharing"",""งบพรบ!FA23"")"),0)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16301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IFERROR(__xludf.DUMMYFUNCTION("IMPORTRANGE(""https://docs.google.com/spreadsheets/d/1awYsYK3VOup2i3Pq_Yjnu8DRu_mYwSBnCR2QPthd0rU/edit?usp=sharing"",""ศูนย์ยกเว้นโฉนด!D23"")"),15521)</f>
        <v>15521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IFERROR(__xludf.DUMMYFUNCTION("IMPORTRANGE(""https://docs.google.com/spreadsheets/d/1eHaY18a8A9IcSdp1K8H6x8fbOy06t2VsZHhMHf-1x7Y/edit?usp=sharing"",""แผน!EL23"")"),7)</f>
        <v>7</v>
      </c>
      <c r="J346" s="184">
        <f ca="1">IFERROR(__xludf.DUMMYFUNCTION("IMPORTRANGE(""https://docs.google.com/spreadsheets/d/1awYsYK3VOup2i3Pq_Yjnu8DRu_mYwSBnCR2QPthd0rU/edit?usp=sharing"",""ศูนย์รวม!E23"")"),5)</f>
        <v>5</v>
      </c>
      <c r="K346" s="224">
        <f ca="1">IF(I346&gt;0,J346*100/I346,0)</f>
        <v>71.428571428571431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IFERROR(__xludf.DUMMYFUNCTION("IMPORTRANGE(""https://docs.google.com/spreadsheets/d/1awYsYK3VOup2i3Pq_Yjnu8DRu_mYwSBnCR2QPthd0rU/edit?usp=sharing"",""ศูนย์ยกเว้นโฉนด!F23"")"),630)</f>
        <v>630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IFERROR(__xludf.DUMMYFUNCTION("IMPORTRANGE(""https://docs.google.com/spreadsheets/d/1awYsYK3VOup2i3Pq_Yjnu8DRu_mYwSBnCR2QPthd0rU/edit?usp=sharing"",""ศูนย์ยกเว้นโฉนด!G23"")"),0)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IFERROR(__xludf.DUMMYFUNCTION("IMPORTRANGE(""https://docs.google.com/spreadsheets/d/1awYsYK3VOup2i3Pq_Yjnu8DRu_mYwSBnCR2QPthd0rU/edit?usp=sharing"",""ศูนย์ยกเว้นโฉนด!H23"")"),150)</f>
        <v>150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10945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IFERROR(__xludf.DUMMYFUNCTION("IMPORTRANGE(""https://docs.google.com/spreadsheets/d/1awYsYK3VOup2i3Pq_Yjnu8DRu_mYwSBnCR2QPthd0rU/edit?usp=sharing"",""โฉนดM3!G23"")"),2277)</f>
        <v>2277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IFERROR(__xludf.DUMMYFUNCTION("IMPORTRANGE(""https://docs.google.com/spreadsheets/d/1awYsYK3VOup2i3Pq_Yjnu8DRu_mYwSBnCR2QPthd0rU/edit?usp=sharing"",""โฉนดM3!H23"")"),10423)</f>
        <v>10423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IFERROR(__xludf.DUMMYFUNCTION("IMPORTRANGE(""https://docs.google.com/spreadsheets/d/1awYsYK3VOup2i3Pq_Yjnu8DRu_mYwSBnCR2QPthd0rU/edit?usp=sharing"",""โฉนดM3!I23"")"),522)</f>
        <v>522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1013090</v>
      </c>
      <c r="M356" s="547">
        <f ca="1">M357+M358</f>
        <v>1171090</v>
      </c>
      <c r="N356" s="547">
        <f ca="1">N357+N358</f>
        <v>967674.5</v>
      </c>
      <c r="O356" s="547">
        <f ca="1">IF(L356&gt;0,N356*100/L356,0)</f>
        <v>95.5171307583729</v>
      </c>
      <c r="P356" s="547">
        <f ca="1">IF(M356&gt;0,N356*100/M356,0)</f>
        <v>82.630241911381702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1013090</v>
      </c>
      <c r="M358" s="224">
        <f ca="1">M361+M364</f>
        <v>1171090</v>
      </c>
      <c r="N358" s="224">
        <f ca="1">N361+N364</f>
        <v>967674.5</v>
      </c>
      <c r="O358" s="224">
        <f ca="1">IF(L358&gt;0,N358*100/L358,0)</f>
        <v>95.5171307583729</v>
      </c>
      <c r="P358" s="224">
        <f ca="1">IF(M358&gt;0,N358*100/M358,0)</f>
        <v>82.630241911381702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1013090</v>
      </c>
      <c r="M359" s="224">
        <f ca="1">M360+M361</f>
        <v>1171090</v>
      </c>
      <c r="N359" s="224">
        <f ca="1">N360+N361</f>
        <v>967674.5</v>
      </c>
      <c r="O359" s="224">
        <f ca="1">IF(L359&gt;0,N359*100/L359,0)</f>
        <v>95.5171307583729</v>
      </c>
      <c r="P359" s="224">
        <f ca="1">IF(M359&gt;0,N359*100/M359,0)</f>
        <v>82.630241911381702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IFERROR(__xludf.DUMMYFUNCTION("IMPORTRANGE(""https://docs.google.com/spreadsheets/d/1-uDff_7J0KD5mKrp0Vvzr7lt3OU09vwQwhkpOPPYv2Y/edit?usp=sharing"",""งบพรบ!FC23"")"),1013090)</f>
        <v>1013090</v>
      </c>
      <c r="M361" s="224">
        <f ca="1">IFERROR(__xludf.DUMMYFUNCTION("IMPORTRANGE(""https://docs.google.com/spreadsheets/d/1-uDff_7J0KD5mKrp0Vvzr7lt3OU09vwQwhkpOPPYv2Y/edit?usp=sharing"",""งบพรบ!FH23"")"),1171090)</f>
        <v>1171090</v>
      </c>
      <c r="N361" s="224">
        <f ca="1">IFERROR(__xludf.DUMMYFUNCTION("IMPORTRANGE(""https://docs.google.com/spreadsheets/d/1-uDff_7J0KD5mKrp0Vvzr7lt3OU09vwQwhkpOPPYv2Y/edit?usp=sharing"",""งบพรบ!FJ23"")"),967674.5)</f>
        <v>967674.5</v>
      </c>
      <c r="O361" s="224">
        <f ca="1">IF(L361&gt;0,N361*100/L361,0)</f>
        <v>95.5171307583729</v>
      </c>
      <c r="P361" s="224">
        <f ca="1">IF(M361&gt;0,N361*100/M361,0)</f>
        <v>82.630241911381702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IFERROR(__xludf.DUMMYFUNCTION("IMPORTRANGE(""https://docs.google.com/spreadsheets/d/1-uDff_7J0KD5mKrp0Vvzr7lt3OU09vwQwhkpOPPYv2Y/edit?usp=sharing"",""งบพรบ!FF23"")"),0)</f>
        <v>0</v>
      </c>
      <c r="M364" s="224">
        <f ca="1">IFERROR(__xludf.DUMMYFUNCTION("IMPORTRANGE(""https://docs.google.com/spreadsheets/d/1-uDff_7J0KD5mKrp0Vvzr7lt3OU09vwQwhkpOPPYv2Y/edit?usp=sharing"",""งบพรบ!FI23"")"),0)</f>
        <v>0</v>
      </c>
      <c r="N364" s="224">
        <f ca="1">IFERROR(__xludf.DUMMYFUNCTION("IMPORTRANGE(""https://docs.google.com/spreadsheets/d/1-uDff_7J0KD5mKrp0Vvzr7lt3OU09vwQwhkpOPPYv2Y/edit?usp=sharing"",""งบพรบ!FK23"")"),0)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1390</v>
      </c>
      <c r="J365" s="302">
        <f ca="1">J371</f>
        <v>619</v>
      </c>
      <c r="K365" s="303">
        <f ca="1">IF(I365&gt;0,J365*100/I365,0)</f>
        <v>44.532374100719423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IFERROR(__xludf.DUMMYFUNCTION("IMPORTRANGE(""https://docs.google.com/spreadsheets/d/1tdoBKaGub7dwA3U6UFTqxio9LNnvDCQjHKmttSEBsFQ/edit?usp=sharing"",""จัดที่ดิน!AB23"")"),373)</f>
        <v>373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IFERROR(__xludf.DUMMYFUNCTION("IMPORTRANGE(""https://docs.google.com/spreadsheets/d/1eHaY18a8A9IcSdp1K8H6x8fbOy06t2VsZHhMHf-1x7Y/edit?usp=sharing"",""แผน!EW23"")"),3850)</f>
        <v>3850</v>
      </c>
      <c r="J368" s="668">
        <f ca="1">IFERROR(__xludf.DUMMYFUNCTION("IMPORTRANGE(""https://docs.google.com/spreadsheets/d/1tdoBKaGub7dwA3U6UFTqxio9LNnvDCQjHKmttSEBsFQ/edit?usp=sharing"",""จัดที่ดิน!AC23"")"),4928.1)</f>
        <v>4928.1000000000004</v>
      </c>
      <c r="K368" s="224">
        <f ca="1">IF(I368&gt;0,J368*100/I368,0)</f>
        <v>128.00259740259742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IFERROR(__xludf.DUMMYFUNCTION("IMPORTRANGE(""https://docs.google.com/spreadsheets/d/1eHaY18a8A9IcSdp1K8H6x8fbOy06t2VsZHhMHf-1x7Y/edit?usp=sharing"",""แผน!EX23"")"),1390)</f>
        <v>1390</v>
      </c>
      <c r="J369" s="184">
        <f ca="1">IFERROR(__xludf.DUMMYFUNCTION("IMPORTRANGE(""https://docs.google.com/spreadsheets/d/1tdoBKaGub7dwA3U6UFTqxio9LNnvDCQjHKmttSEBsFQ/edit?usp=sharing"",""จัดที่ดิน!AD23"")"),788)</f>
        <v>788</v>
      </c>
      <c r="K369" s="224">
        <f ca="1">IF(I369&gt;0,J369*100/I369,0)</f>
        <v>56.690647482014391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IFERROR(__xludf.DUMMYFUNCTION("IMPORTRANGE(""https://docs.google.com/spreadsheets/d/1tdoBKaGub7dwA3U6UFTqxio9LNnvDCQjHKmttSEBsFQ/edit?usp=sharing"",""จัดที่ดิน!AE23"")"),12854.59)</f>
        <v>12854.59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IFERROR(__xludf.DUMMYFUNCTION("IMPORTRANGE(""https://docs.google.com/spreadsheets/d/1eHaY18a8A9IcSdp1K8H6x8fbOy06t2VsZHhMHf-1x7Y/edit?usp=sharing"",""แผน!EY23"")"),1390)</f>
        <v>1390</v>
      </c>
      <c r="J371" s="184">
        <f ca="1">IFERROR(__xludf.DUMMYFUNCTION("IMPORTRANGE(""https://docs.google.com/spreadsheets/d/1tdoBKaGub7dwA3U6UFTqxio9LNnvDCQjHKmttSEBsFQ/edit?usp=sharing"",""จัดที่ดิน!AF23"")"),619)</f>
        <v>619</v>
      </c>
      <c r="K371" s="224">
        <f ca="1">IF(I371&gt;0,J371*100/I371,0)</f>
        <v>44.532374100719423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IFERROR(__xludf.DUMMYFUNCTION("IMPORTRANGE(""https://docs.google.com/spreadsheets/d/1tdoBKaGub7dwA3U6UFTqxio9LNnvDCQjHKmttSEBsFQ/edit?usp=sharing"",""จัดที่ดิน!AG23"")"),10883.17)</f>
        <v>10883.17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I385</f>
        <v>0</v>
      </c>
      <c r="J374" s="660">
        <f>J385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hidden="1" x14ac:dyDescent="0.3">
      <c r="A375" s="128"/>
      <c r="B375" s="158"/>
      <c r="C375" s="161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0</v>
      </c>
      <c r="R375" s="547">
        <f ca="1">R376+R377</f>
        <v>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0</v>
      </c>
      <c r="R377" s="224">
        <f ca="1">R380+R383</f>
        <v>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hidden="1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IFERROR(__xludf.DUMMYFUNCTION("IMPORTRANGE(""https://docs.google.com/spreadsheets/d/1-uDff_7J0KD5mKrp0Vvzr7lt3OU09vwQwhkpOPPYv2Y/edit?usp=sharing"",""งบพรบ!IE23"")"),0)</f>
        <v>0</v>
      </c>
      <c r="M380" s="224">
        <f ca="1">IFERROR(__xludf.DUMMYFUNCTION("IMPORTRANGE(""https://docs.google.com/spreadsheets/d/1-uDff_7J0KD5mKrp0Vvzr7lt3OU09vwQwhkpOPPYv2Y/edit?usp=sharing"",""งบพรบ!IJ23"")"),0)</f>
        <v>0</v>
      </c>
      <c r="N380" s="224">
        <f ca="1">IFERROR(__xludf.DUMMYFUNCTION("IMPORTRANGE(""https://docs.google.com/spreadsheets/d/1-uDff_7J0KD5mKrp0Vvzr7lt3OU09vwQwhkpOPPYv2Y/edit?usp=sharing"",""งบพรบ!IL23"")"),0)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IFERROR(__xludf.DUMMYFUNCTION("IMPORTRANGE(""https://docs.google.com/spreadsheets/d/1ItG2mGa2ceCfYo0BwxsXqNm01IGEUdYcSSLTEv9YCik/edit?usp=sharing"",""เบิกจ่ายกองทุน!BW23"")"),0)</f>
        <v>0</v>
      </c>
      <c r="R380" s="224">
        <f ca="1">IFERROR(__xludf.DUMMYFUNCTION("IMPORTRANGE(""https://docs.google.com/spreadsheets/d/1ItG2mGa2ceCfYo0BwxsXqNm01IGEUdYcSSLTEv9YCik/edit?usp=sharing"",""เบิกจ่ายกองทุน!BX23"")"),0)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IFERROR(__xludf.DUMMYFUNCTION("IMPORTRANGE(""https://docs.google.com/spreadsheets/d/1ItG2mGa2ceCfYo0BwxsXqNm01IGEUdYcSSLTEv9YCik/edit?usp=sharing"",""เบิกจ่ายกองทุน!BY23"")"),0)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hidden="1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IFERROR(__xludf.DUMMYFUNCTION("IMPORTRANGE(""https://docs.google.com/spreadsheets/d/1-uDff_7J0KD5mKrp0Vvzr7lt3OU09vwQwhkpOPPYv2Y/edit?usp=sharing"",""งบพรบ!IH23"")"),0)</f>
        <v>0</v>
      </c>
      <c r="M383" s="224">
        <f ca="1">IFERROR(__xludf.DUMMYFUNCTION("IMPORTRANGE(""https://docs.google.com/spreadsheets/d/1-uDff_7J0KD5mKrp0Vvzr7lt3OU09vwQwhkpOPPYv2Y/edit?usp=sharing"",""งบพรบ!IK23"")"),0)</f>
        <v>0</v>
      </c>
      <c r="N383" s="224">
        <f ca="1">IFERROR(__xludf.DUMMYFUNCTION("IMPORTRANGE(""https://docs.google.com/spreadsheets/d/1-uDff_7J0KD5mKrp0Vvzr7lt3OU09vwQwhkpOPPYv2Y/edit?usp=sharing"",""งบพรบ!IM23"")"),0)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hidden="1" x14ac:dyDescent="0.3">
      <c r="A384" s="138"/>
      <c r="B384" s="139"/>
      <c r="C384" s="161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IFERROR(__xludf.DUMMYFUNCTION("IMPORTRANGE(""https://docs.google.com/spreadsheets/d/1eHaY18a8A9IcSdp1K8H6x8fbOy06t2VsZHhMHf-1x7Y/edit?usp=sharing"",""แผน!JQ23"")"),0)</f>
        <v>0</v>
      </c>
      <c r="J385" s="184">
        <v>0</v>
      </c>
      <c r="K385" s="224">
        <f ca="1"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IFERROR(__xludf.DUMMYFUNCTION("IMPORTRANGE(""https://docs.google.com/spreadsheets/d/1eHaY18a8A9IcSdp1K8H6x8fbOy06t2VsZHhMHf-1x7Y/edit?usp=sharing"",""แผน!JQ23"")"),0)</f>
        <v>0</v>
      </c>
      <c r="J386" s="184"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20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485">
        <v>0</v>
      </c>
      <c r="J387" s="485">
        <v>0</v>
      </c>
      <c r="K387" s="83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208"/>
      <c r="B388" s="158"/>
      <c r="C388" s="158"/>
      <c r="D388" s="158"/>
      <c r="E388" s="158"/>
      <c r="F388" s="158"/>
      <c r="G388" s="180"/>
      <c r="H388" s="157" t="s">
        <v>46</v>
      </c>
      <c r="I388" s="485">
        <v>0</v>
      </c>
      <c r="J388" s="485">
        <v>0</v>
      </c>
      <c r="K388" s="83">
        <f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IFERROR(__xludf.DUMMYFUNCTION("IMPORTRANGE(""https://docs.google.com/spreadsheets/d/1ItG2mGa2ceCfYo0BwxsXqNm01IGEUdYcSSLTEv9YCik/edit?usp=sharing"",""เบิกจ่ายกองทุน!CL23"")"),0)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IFERROR(__xludf.DUMMYFUNCTION("IMPORTRANGE(""https://docs.google.com/spreadsheets/d/1ItG2mGa2ceCfYo0BwxsXqNm01IGEUdYcSSLTEv9YCik/edit?usp=sharing"",""เบิกจ่ายกองทุน!CM23"")"),0)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IFERROR(__xludf.DUMMYFUNCTION("IMPORTRANGE(""https://docs.google.com/spreadsheets/d/1ItG2mGa2ceCfYo0BwxsXqNm01IGEUdYcSSLTEv9YCik/edit?usp=sharing"",""เบิกจ่ายกองทุน!CN23"")"),0)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158541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617840</v>
      </c>
      <c r="M413" s="547">
        <f ca="1">M414+M415</f>
        <v>617840</v>
      </c>
      <c r="N413" s="547">
        <f ca="1">N414+N415</f>
        <v>409666</v>
      </c>
      <c r="O413" s="547">
        <f ca="1">IF(L413&gt;0,N413*100/L413,0)</f>
        <v>66.306163408002078</v>
      </c>
      <c r="P413" s="547">
        <f ca="1">IF(M413&gt;0,N413*100/M413,0)</f>
        <v>66.306163408002078</v>
      </c>
      <c r="Q413" s="547">
        <f ca="1">Q414+Q415</f>
        <v>122430</v>
      </c>
      <c r="R413" s="547">
        <f ca="1">R414+R415</f>
        <v>122430</v>
      </c>
      <c r="S413" s="547">
        <f ca="1">S414+S415</f>
        <v>52965</v>
      </c>
      <c r="T413" s="547">
        <f ca="1">IF(Q413&gt;0,S413*100/Q413,0)</f>
        <v>43.261455525606472</v>
      </c>
      <c r="U413" s="547">
        <f ca="1">IF(R413&gt;0,S413*100/R413,0)</f>
        <v>43.261455525606472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617840</v>
      </c>
      <c r="M415" s="224">
        <f ca="1">M418+M421</f>
        <v>617840</v>
      </c>
      <c r="N415" s="224">
        <f ca="1">N418+N421</f>
        <v>409666</v>
      </c>
      <c r="O415" s="224">
        <f ca="1">IF(L415&gt;0,N415*100/L415,0)</f>
        <v>66.306163408002078</v>
      </c>
      <c r="P415" s="224">
        <f ca="1">IF(M415&gt;0,N415*100/M415,0)</f>
        <v>66.306163408002078</v>
      </c>
      <c r="Q415" s="224">
        <f ca="1">Q418+Q421</f>
        <v>122430</v>
      </c>
      <c r="R415" s="224">
        <f ca="1">R418+R421</f>
        <v>122430</v>
      </c>
      <c r="S415" s="224">
        <f ca="1">S418+S421</f>
        <v>52965</v>
      </c>
      <c r="T415" s="224">
        <f ca="1">IF(Q415&gt;0,S415*100/Q415,0)</f>
        <v>43.261455525606472</v>
      </c>
      <c r="U415" s="224">
        <f ca="1">IF(R415&gt;0,S415*100/R415,0)</f>
        <v>43.261455525606472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617840</v>
      </c>
      <c r="M416" s="224">
        <f ca="1">M417+M418</f>
        <v>617840</v>
      </c>
      <c r="N416" s="224">
        <f ca="1">N417+N418</f>
        <v>409666</v>
      </c>
      <c r="O416" s="224">
        <f ca="1">IF(L416&gt;0,N416*100/L416,0)</f>
        <v>66.306163408002078</v>
      </c>
      <c r="P416" s="224">
        <f ca="1">IF(M416&gt;0,N416*100/M416,0)</f>
        <v>66.306163408002078</v>
      </c>
      <c r="Q416" s="224">
        <f ca="1">Q417+Q418</f>
        <v>122430</v>
      </c>
      <c r="R416" s="224">
        <f ca="1">R417+R418</f>
        <v>122430</v>
      </c>
      <c r="S416" s="224">
        <f ca="1">S417+S418</f>
        <v>52965</v>
      </c>
      <c r="T416" s="224">
        <f ca="1">IF(Q416&gt;0,S416*100/Q416,0)</f>
        <v>43.261455525606472</v>
      </c>
      <c r="U416" s="224">
        <f ca="1">IF(R416&gt;0,S416*100/R416,0)</f>
        <v>43.261455525606472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IFERROR(__xludf.DUMMYFUNCTION("IMPORTRANGE(""https://docs.google.com/spreadsheets/d/1-uDff_7J0KD5mKrp0Vvzr7lt3OU09vwQwhkpOPPYv2Y/edit?usp=sharing"",""งบพรบ!IO23"")"),617840)</f>
        <v>617840</v>
      </c>
      <c r="M418" s="224">
        <f ca="1">IFERROR(__xludf.DUMMYFUNCTION("IMPORTRANGE(""https://docs.google.com/spreadsheets/d/1-uDff_7J0KD5mKrp0Vvzr7lt3OU09vwQwhkpOPPYv2Y/edit?usp=sharing"",""งบพรบ!IT23"")"),617840)</f>
        <v>617840</v>
      </c>
      <c r="N418" s="224">
        <f ca="1">IFERROR(__xludf.DUMMYFUNCTION("IMPORTRANGE(""https://docs.google.com/spreadsheets/d/1-uDff_7J0KD5mKrp0Vvzr7lt3OU09vwQwhkpOPPYv2Y/edit?usp=sharing"",""งบพรบ!IV23"")"),409666)</f>
        <v>409666</v>
      </c>
      <c r="O418" s="224">
        <f ca="1">IF(L418&gt;0,N418*100/L418,0)</f>
        <v>66.306163408002078</v>
      </c>
      <c r="P418" s="224">
        <f ca="1">IF(M418&gt;0,N418*100/M418,0)</f>
        <v>66.306163408002078</v>
      </c>
      <c r="Q418" s="224">
        <f ca="1">IFERROR(__xludf.DUMMYFUNCTION("IMPORTRANGE(""https://docs.google.com/spreadsheets/d/1ItG2mGa2ceCfYo0BwxsXqNm01IGEUdYcSSLTEv9YCik/edit?usp=sharing"",""เบิกจ่ายกองทุน!BZ23"")"),122430)</f>
        <v>122430</v>
      </c>
      <c r="R418" s="224">
        <f ca="1">IFERROR(__xludf.DUMMYFUNCTION("IMPORTRANGE(""https://docs.google.com/spreadsheets/d/1ItG2mGa2ceCfYo0BwxsXqNm01IGEUdYcSSLTEv9YCik/edit?usp=sharing"",""เบิกจ่ายกองทุน!CA23"")"),122430)</f>
        <v>122430</v>
      </c>
      <c r="S418" s="224">
        <f ca="1">IFERROR(__xludf.DUMMYFUNCTION("IMPORTRANGE(""https://docs.google.com/spreadsheets/d/1ItG2mGa2ceCfYo0BwxsXqNm01IGEUdYcSSLTEv9YCik/edit?usp=sharing"",""เบิกจ่ายกองทุน!CB23"")"),52965)</f>
        <v>52965</v>
      </c>
      <c r="T418" s="224">
        <f ca="1">IF(Q418&gt;0,S418*100/Q418,0)</f>
        <v>43.261455525606472</v>
      </c>
      <c r="U418" s="224">
        <f ca="1">IF(R418&gt;0,S418*100/R418,0)</f>
        <v>43.261455525606472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IFERROR(__xludf.DUMMYFUNCTION("IMPORTRANGE(""https://docs.google.com/spreadsheets/d/1-uDff_7J0KD5mKrp0Vvzr7lt3OU09vwQwhkpOPPYv2Y/edit?usp=sharing"",""งบพรบ!IR23"")"),0)</f>
        <v>0</v>
      </c>
      <c r="M421" s="224">
        <f ca="1">IFERROR(__xludf.DUMMYFUNCTION("IMPORTRANGE(""https://docs.google.com/spreadsheets/d/1-uDff_7J0KD5mKrp0Vvzr7lt3OU09vwQwhkpOPPYv2Y/edit?usp=sharing"",""งบพรบ!IU23"")"),0)</f>
        <v>0</v>
      </c>
      <c r="N421" s="224">
        <f ca="1">IFERROR(__xludf.DUMMYFUNCTION("IMPORTRANGE(""https://docs.google.com/spreadsheets/d/1-uDff_7J0KD5mKrp0Vvzr7lt3OU09vwQwhkpOPPYv2Y/edit?usp=sharing"",""งบพรบ!IW23"")"),0)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158541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IFERROR(__xludf.DUMMYFUNCTION("IMPORTRANGE(""https://docs.google.com/spreadsheets/d/1eHaY18a8A9IcSdp1K8H6x8fbOy06t2VsZHhMHf-1x7Y/edit?usp=sharing"",""แผน!HJ23"")"),158541)</f>
        <v>158541</v>
      </c>
      <c r="J424" s="650">
        <f>J426+J428+J430</f>
        <v>85540.195000000007</v>
      </c>
      <c r="K424" s="547">
        <f ca="1">IF(I424&gt;0,J424*100/I424,0)</f>
        <v>53.954620571334857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IFERROR(__xludf.DUMMYFUNCTION("IMPORTRANGE(""https://docs.google.com/spreadsheets/d/1eHaY18a8A9IcSdp1K8H6x8fbOy06t2VsZHhMHf-1x7Y/edit?usp=sharing"",""แผน!HK23"")"),11799)</f>
        <v>11799</v>
      </c>
      <c r="J425" s="650">
        <f>J427+J429+J431</f>
        <v>6909</v>
      </c>
      <c r="K425" s="547">
        <f ca="1">IF(I425&gt;0,J425*100/I425,0)</f>
        <v>58.555809814391047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45422.077499999999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4193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34911.022499999999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2273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5207.0950000000003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443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IFERROR(__xludf.DUMMYFUNCTION("IMPORTRANGE(""https://docs.google.com/spreadsheets/d/1eHaY18a8A9IcSdp1K8H6x8fbOy06t2VsZHhMHf-1x7Y/edit?usp=sharing"",""แผน!HJ23"")"),158541)</f>
        <v>158541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IFERROR(__xludf.DUMMYFUNCTION("IMPORTRANGE(""https://docs.google.com/spreadsheets/d/1eHaY18a8A9IcSdp1K8H6x8fbOy06t2VsZHhMHf-1x7Y/edit?usp=sharing"",""แผน!HK23"")"),11799)</f>
        <v>11799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IFERROR(__xludf.DUMMYFUNCTION("IMPORTRANGE(""https://docs.google.com/spreadsheets/d/1eHaY18a8A9IcSdp1K8H6x8fbOy06t2VsZHhMHf-1x7Y/edit?usp=sharing"",""แผน!HJ23"")"),158541)</f>
        <v>158541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IFERROR(__xludf.DUMMYFUNCTION("IMPORTRANGE(""https://docs.google.com/spreadsheets/d/1eHaY18a8A9IcSdp1K8H6x8fbOy06t2VsZHhMHf-1x7Y/edit?usp=sharing"",""แผน!HK23"")"),11799)</f>
        <v>11799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5304.29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IFERROR(__xludf.DUMMYFUNCTION("IMPORTRANGE(""https://docs.google.com/spreadsheets/d/1eHaY18a8A9IcSdp1K8H6x8fbOy06t2VsZHhMHf-1x7Y/edit?usp=sharing"",""แผน!HL23"")"),5304.29)</f>
        <v>5304.29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IFERROR(__xludf.DUMMYFUNCTION("IMPORTRANGE(""https://docs.google.com/spreadsheets/d/1eHaY18a8A9IcSdp1K8H6x8fbOy06t2VsZHhMHf-1x7Y/edit?usp=sharing"",""แผน!HM23"")"),240)</f>
        <v>240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IFERROR(__xludf.DUMMYFUNCTION("IMPORTRANGE(""https://docs.google.com/spreadsheets/d/1eHaY18a8A9IcSdp1K8H6x8fbOy06t2VsZHhMHf-1x7Y/edit?usp=sharing"",""แผน!HO23"")"),790)</f>
        <v>790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IFERROR(__xludf.DUMMYFUNCTION("IMPORTRANGE(""https://docs.google.com/spreadsheets/d/1eHaY18a8A9IcSdp1K8H6x8fbOy06t2VsZHhMHf-1x7Y/edit?usp=sharing"",""แผน!HN23"")"),38)</f>
        <v>38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IFERROR(__xludf.DUMMYFUNCTION("IMPORTRANGE(""https://docs.google.com/spreadsheets/d/1-uDff_7J0KD5mKrp0Vvzr7lt3OU09vwQwhkpOPPYv2Y/edit?usp=sharing"",""งบพรบ!HU23"")"),0)</f>
        <v>0</v>
      </c>
      <c r="M498" s="224">
        <f ca="1">IFERROR(__xludf.DUMMYFUNCTION("IMPORTRANGE(""https://docs.google.com/spreadsheets/d/1-uDff_7J0KD5mKrp0Vvzr7lt3OU09vwQwhkpOPPYv2Y/edit?usp=sharing"",""งบพรบ!HZ23"")"),0)</f>
        <v>0</v>
      </c>
      <c r="N498" s="224">
        <f ca="1">IFERROR(__xludf.DUMMYFUNCTION("IMPORTRANGE(""https://docs.google.com/spreadsheets/d/1-uDff_7J0KD5mKrp0Vvzr7lt3OU09vwQwhkpOPPYv2Y/edit?usp=sharing"",""งบพรบ!IB23"")"),0)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IFERROR(__xludf.DUMMYFUNCTION("IMPORTRANGE(""https://docs.google.com/spreadsheets/d/1ItG2mGa2ceCfYo0BwxsXqNm01IGEUdYcSSLTEv9YCik/edit?usp=sharing"",""เบิกจ่ายกองทุน!AD23"")"),0)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IFERROR(__xludf.DUMMYFUNCTION("IMPORTRANGE(""https://docs.google.com/spreadsheets/d/1ItG2mGa2ceCfYo0BwxsXqNm01IGEUdYcSSLTEv9YCik/edit?usp=sharing"",""เบิกจ่ายกองทุน!AE23"")"),0)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IFERROR(__xludf.DUMMYFUNCTION("IMPORTRANGE(""https://docs.google.com/spreadsheets/d/1ItG2mGa2ceCfYo0BwxsXqNm01IGEUdYcSSLTEv9YCik/edit?usp=sharing"",""เบิกจ่ายกองทุน!AF23"")"),0)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IFERROR(__xludf.DUMMYFUNCTION("IMPORTRANGE(""https://docs.google.com/spreadsheets/d/1-uDff_7J0KD5mKrp0Vvzr7lt3OU09vwQwhkpOPPYv2Y/edit?usp=sharing"",""งบพรบ!HX23"")"),0)</f>
        <v>0</v>
      </c>
      <c r="M501" s="224">
        <f ca="1">IFERROR(__xludf.DUMMYFUNCTION("IMPORTRANGE(""https://docs.google.com/spreadsheets/d/1-uDff_7J0KD5mKrp0Vvzr7lt3OU09vwQwhkpOPPYv2Y/edit?usp=sharing"",""งบพรบ!IA23"")"),0)</f>
        <v>0</v>
      </c>
      <c r="N501" s="224">
        <f ca="1">IFERROR(__xludf.DUMMYFUNCTION("IMPORTRANGE(""https://docs.google.com/spreadsheets/d/1-uDff_7J0KD5mKrp0Vvzr7lt3OU09vwQwhkpOPPYv2Y/edit?usp=sharing"",""งบพรบ!IC23"")"),0)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IFERROR(__xludf.DUMMYFUNCTION("IMPORTRANGE(""https://docs.google.com/spreadsheets/d/1eHaY18a8A9IcSdp1K8H6x8fbOy06t2VsZHhMHf-1x7Y/edit?usp=sharing"",""แผน!GX23"")"),0)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IFERROR(__xludf.DUMMYFUNCTION("IMPORTRANGE(""https://docs.google.com/spreadsheets/d/1eHaY18a8A9IcSdp1K8H6x8fbOy06t2VsZHhMHf-1x7Y/edit?usp=sharing"",""แผน!GY23"")"),0)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IFERROR(__xludf.DUMMYFUNCTION("IMPORTRANGE(""https://docs.google.com/spreadsheets/d/1eHaY18a8A9IcSdp1K8H6x8fbOy06t2VsZHhMHf-1x7Y/edit?usp=sharing"",""แผน!GZ23"")"),0)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IFERROR(__xludf.DUMMYFUNCTION("IMPORTRANGE(""https://docs.google.com/spreadsheets/d/1eHaY18a8A9IcSdp1K8H6x8fbOy06t2VsZHhMHf-1x7Y/edit?usp=sharing"",""แผน!HA23"")"),0)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IFERROR(__xludf.DUMMYFUNCTION("IMPORTRANGE(""https://docs.google.com/spreadsheets/d/1eHaY18a8A9IcSdp1K8H6x8fbOy06t2VsZHhMHf-1x7Y/edit?usp=sharing"",""แผน!HB23"")"),0)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IFERROR(__xludf.DUMMYFUNCTION("IMPORTRANGE(""https://docs.google.com/spreadsheets/d/1eHaY18a8A9IcSdp1K8H6x8fbOy06t2VsZHhMHf-1x7Y/edit?usp=sharing"",""แผน!HC23"")"),0)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IFERROR(__xludf.DUMMYFUNCTION("IMPORTRANGE(""https://docs.google.com/spreadsheets/d/1-uDff_7J0KD5mKrp0Vvzr7lt3OU09vwQwhkpOPPYv2Y/edit?usp=sharing"",""งบพรบ!FM23"")"),0)</f>
        <v>0</v>
      </c>
      <c r="M518" s="224">
        <f ca="1">IFERROR(__xludf.DUMMYFUNCTION("IMPORTRANGE(""https://docs.google.com/spreadsheets/d/1-uDff_7J0KD5mKrp0Vvzr7lt3OU09vwQwhkpOPPYv2Y/edit?usp=sharing"",""งบพรบ!FR23"")"),0)</f>
        <v>0</v>
      </c>
      <c r="N518" s="224">
        <f ca="1">IFERROR(__xludf.DUMMYFUNCTION("IMPORTRANGE(""https://docs.google.com/spreadsheets/d/1-uDff_7J0KD5mKrp0Vvzr7lt3OU09vwQwhkpOPPYv2Y/edit?usp=sharing"",""งบพรบ!FT23"")"),0)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IFERROR(__xludf.DUMMYFUNCTION("IMPORTRANGE(""https://docs.google.com/spreadsheets/d/1-uDff_7J0KD5mKrp0Vvzr7lt3OU09vwQwhkpOPPYv2Y/edit?usp=sharing"",""งบพรบ!FP23"")"),0)</f>
        <v>0</v>
      </c>
      <c r="M521" s="224">
        <f ca="1">IFERROR(__xludf.DUMMYFUNCTION("IMPORTRANGE(""https://docs.google.com/spreadsheets/d/1-uDff_7J0KD5mKrp0Vvzr7lt3OU09vwQwhkpOPPYv2Y/edit?usp=sharing"",""งบพรบ!FS23"")"),0)</f>
        <v>0</v>
      </c>
      <c r="N521" s="224">
        <f ca="1">IFERROR(__xludf.DUMMYFUNCTION("IMPORTRANGE(""https://docs.google.com/spreadsheets/d/1-uDff_7J0KD5mKrp0Vvzr7lt3OU09vwQwhkpOPPYv2Y/edit?usp=sharing"",""งบพรบ!FU23"")"),0)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0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692000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692000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IFERROR(__xludf.DUMMYFUNCTION("IMPORTRANGE(""https://docs.google.com/spreadsheets/d/1-uDff_7J0KD5mKrp0Vvzr7lt3OU09vwQwhkpOPPYv2Y/edit?usp=sharing"",""งบพรบ!FW23"")"),0)</f>
        <v>0</v>
      </c>
      <c r="M539" s="224">
        <f ca="1">IFERROR(__xludf.DUMMYFUNCTION("IMPORTRANGE(""https://docs.google.com/spreadsheets/d/1-uDff_7J0KD5mKrp0Vvzr7lt3OU09vwQwhkpOPPYv2Y/edit?usp=sharing"",""งบพรบ!GB23"")"),0)</f>
        <v>0</v>
      </c>
      <c r="N539" s="224">
        <f ca="1">IFERROR(__xludf.DUMMYFUNCTION("IMPORTRANGE(""https://docs.google.com/spreadsheets/d/1-uDff_7J0KD5mKrp0Vvzr7lt3OU09vwQwhkpOPPYv2Y/edit?usp=sharing"",""งบพรบ!GD23"")"),0)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692000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IFERROR(__xludf.DUMMYFUNCTION("IMPORTRANGE(""https://docs.google.com/spreadsheets/d/1-uDff_7J0KD5mKrp0Vvzr7lt3OU09vwQwhkpOPPYv2Y/edit?usp=sharing"",""งบพรบ!FZ23"")"),692000)</f>
        <v>692000</v>
      </c>
      <c r="M542" s="224">
        <f ca="1">IFERROR(__xludf.DUMMYFUNCTION("IMPORTRANGE(""https://docs.google.com/spreadsheets/d/1-uDff_7J0KD5mKrp0Vvzr7lt3OU09vwQwhkpOPPYv2Y/edit?usp=sharing"",""งบพรบ!GC23"")"),0)</f>
        <v>0</v>
      </c>
      <c r="N542" s="224">
        <f ca="1">IFERROR(__xludf.DUMMYFUNCTION("IMPORTRANGE(""https://docs.google.com/spreadsheets/d/1-uDff_7J0KD5mKrp0Vvzr7lt3OU09vwQwhkpOPPYv2Y/edit?usp=sharing"",""งบพรบ!GE23"")"),0)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v>0</v>
      </c>
      <c r="J544" s="313">
        <v>0</v>
      </c>
      <c r="K544" s="376">
        <f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IFERROR(__xludf.DUMMYFUNCTION("IMPORTRANGE(""https://docs.google.com/spreadsheets/d/1-uDff_7J0KD5mKrp0Vvzr7lt3OU09vwQwhkpOPPYv2Y/edit?usp=sharing"",""งบพรบ!GG23"")"),0)</f>
        <v>0</v>
      </c>
      <c r="M560" s="224">
        <f ca="1">IFERROR(__xludf.DUMMYFUNCTION("IMPORTRANGE(""https://docs.google.com/spreadsheets/d/1-uDff_7J0KD5mKrp0Vvzr7lt3OU09vwQwhkpOPPYv2Y/edit?usp=sharing"",""งบพรบ!GL23"")"),0)</f>
        <v>0</v>
      </c>
      <c r="N560" s="224">
        <f ca="1">IFERROR(__xludf.DUMMYFUNCTION("IMPORTRANGE(""https://docs.google.com/spreadsheets/d/1-uDff_7J0KD5mKrp0Vvzr7lt3OU09vwQwhkpOPPYv2Y/edit?usp=sharing"",""งบพรบ!GN23"")"),0)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IFERROR(__xludf.DUMMYFUNCTION("IMPORTRANGE(""https://docs.google.com/spreadsheets/d/1-uDff_7J0KD5mKrp0Vvzr7lt3OU09vwQwhkpOPPYv2Y/edit?usp=sharing"",""งบพรบ!GJ23"")"),0)</f>
        <v>0</v>
      </c>
      <c r="M563" s="224">
        <f ca="1">IFERROR(__xludf.DUMMYFUNCTION("IMPORTRANGE(""https://docs.google.com/spreadsheets/d/1-uDff_7J0KD5mKrp0Vvzr7lt3OU09vwQwhkpOPPYv2Y/edit?usp=sharing"",""งบพรบ!GM23"")"),0)</f>
        <v>0</v>
      </c>
      <c r="N563" s="224">
        <f ca="1">IFERROR(__xludf.DUMMYFUNCTION("IMPORTRANGE(""https://docs.google.com/spreadsheets/d/1-uDff_7J0KD5mKrp0Vvzr7lt3OU09vwQwhkpOPPYv2Y/edit?usp=sharing"",""งบพรบ!GO23"")"),0)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IFERROR(__xludf.DUMMYFUNCTION("IMPORTRANGE(""https://docs.google.com/spreadsheets/d/1-uDff_7J0KD5mKrp0Vvzr7lt3OU09vwQwhkpOPPYv2Y/edit?usp=sharing"",""งบพรบ!GQ23"")"),0)</f>
        <v>0</v>
      </c>
      <c r="M581" s="224">
        <f ca="1">IFERROR(__xludf.DUMMYFUNCTION("IMPORTRANGE(""https://docs.google.com/spreadsheets/d/1-uDff_7J0KD5mKrp0Vvzr7lt3OU09vwQwhkpOPPYv2Y/edit?usp=sharing"",""งบพรบ!GV23"")"),0)</f>
        <v>0</v>
      </c>
      <c r="N581" s="224">
        <f ca="1">IFERROR(__xludf.DUMMYFUNCTION("IMPORTRANGE(""https://docs.google.com/spreadsheets/d/1-uDff_7J0KD5mKrp0Vvzr7lt3OU09vwQwhkpOPPYv2Y/edit?usp=sharing"",""งบพรบ!GX23"")"),0)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IFERROR(__xludf.DUMMYFUNCTION("IMPORTRANGE(""https://docs.google.com/spreadsheets/d/1-uDff_7J0KD5mKrp0Vvzr7lt3OU09vwQwhkpOPPYv2Y/edit?usp=sharing"",""งบพรบ!GT23"")"),0)</f>
        <v>0</v>
      </c>
      <c r="M584" s="224">
        <f ca="1">IFERROR(__xludf.DUMMYFUNCTION("IMPORTRANGE(""https://docs.google.com/spreadsheets/d/1-uDff_7J0KD5mKrp0Vvzr7lt3OU09vwQwhkpOPPYv2Y/edit?usp=sharing"",""งบพรบ!GW23"")"),0)</f>
        <v>0</v>
      </c>
      <c r="N584" s="224">
        <f ca="1">IFERROR(__xludf.DUMMYFUNCTION("IMPORTRANGE(""https://docs.google.com/spreadsheets/d/1-uDff_7J0KD5mKrp0Vvzr7lt3OU09vwQwhkpOPPYv2Y/edit?usp=sharing"",""งบพรบ!GY23"")"),0)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7806</v>
      </c>
      <c r="M599" s="715">
        <f ca="1">M600+M601</f>
        <v>7806</v>
      </c>
      <c r="N599" s="715">
        <f ca="1">N600+N601</f>
        <v>7806</v>
      </c>
      <c r="O599" s="715">
        <f ca="1">IF(L599&gt;0,N599*100/L599,0)</f>
        <v>100</v>
      </c>
      <c r="P599" s="715">
        <f ca="1">IF(M599&gt;0,N599*100/M599,0)</f>
        <v>100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7806</v>
      </c>
      <c r="M601" s="558">
        <f ca="1">M604+M607</f>
        <v>7806</v>
      </c>
      <c r="N601" s="558">
        <f ca="1">N604+N607</f>
        <v>7806</v>
      </c>
      <c r="O601" s="558">
        <f ca="1">IF(L601&gt;0,N601*100/L601,0)</f>
        <v>100</v>
      </c>
      <c r="P601" s="558">
        <f ca="1">IF(M601&gt;0,N601*100/M601,0)</f>
        <v>100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7806</v>
      </c>
      <c r="M602" s="558">
        <f ca="1">M603+M604</f>
        <v>7806</v>
      </c>
      <c r="N602" s="558">
        <f ca="1">N603+N604</f>
        <v>7806</v>
      </c>
      <c r="O602" s="558">
        <f ca="1">IF(L602&gt;0,N602*100/L602,0)</f>
        <v>100</v>
      </c>
      <c r="P602" s="558">
        <f ca="1">IF(M602&gt;0,N602*100/M602,0)</f>
        <v>100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IFERROR(__xludf.DUMMYFUNCTION("IMPORTRANGE(""https://docs.google.com/spreadsheets/d/1-uDff_7J0KD5mKrp0Vvzr7lt3OU09vwQwhkpOPPYv2Y/edit?usp=sharing"",""งบพรบ!HK23"")"),7806)</f>
        <v>7806</v>
      </c>
      <c r="M604" s="558">
        <f ca="1">IFERROR(__xludf.DUMMYFUNCTION("IMPORTRANGE(""https://docs.google.com/spreadsheets/d/1-uDff_7J0KD5mKrp0Vvzr7lt3OU09vwQwhkpOPPYv2Y/edit?usp=sharing"",""งบพรบ!HP23"")"),7806)</f>
        <v>7806</v>
      </c>
      <c r="N604" s="558">
        <f ca="1">IFERROR(__xludf.DUMMYFUNCTION("IMPORTRANGE(""https://docs.google.com/spreadsheets/d/1-uDff_7J0KD5mKrp0Vvzr7lt3OU09vwQwhkpOPPYv2Y/edit?usp=sharing"",""งบพรบ!HR23"")"),7806)</f>
        <v>7806</v>
      </c>
      <c r="O604" s="558">
        <f ca="1">IF(L604&gt;0,N604*100/L604,0)</f>
        <v>100</v>
      </c>
      <c r="P604" s="558">
        <f ca="1">IF(M604&gt;0,N604*100/M604,0)</f>
        <v>100</v>
      </c>
      <c r="Q604" s="558">
        <f ca="1">IFERROR(__xludf.DUMMYFUNCTION("IMPORTRANGE(""https://docs.google.com/spreadsheets/d/1ItG2mGa2ceCfYo0BwxsXqNm01IGEUdYcSSLTEv9YCik/edit?usp=sharing"",""เบิกจ่ายกองทุน!AV23"")"),0)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IFERROR(__xludf.DUMMYFUNCTION("IMPORTRANGE(""https://docs.google.com/spreadsheets/d/1ItG2mGa2ceCfYo0BwxsXqNm01IGEUdYcSSLTEv9YCik/edit?usp=sharing"",""เบิกจ่ายกองทุน!AW23"")"),0)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IFERROR(__xludf.DUMMYFUNCTION("IMPORTRANGE(""https://docs.google.com/spreadsheets/d/1ItG2mGa2ceCfYo0BwxsXqNm01IGEUdYcSSLTEv9YCik/edit?usp=sharing"",""เบิกจ่ายกองทุน!AX23"")"),0)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IFERROR(__xludf.DUMMYFUNCTION("IMPORTRANGE(""https://docs.google.com/spreadsheets/d/1-uDff_7J0KD5mKrp0Vvzr7lt3OU09vwQwhkpOPPYv2Y/edit?usp=sharing"",""งบพรบ!HN23"")"),0)</f>
        <v>0</v>
      </c>
      <c r="M607" s="558">
        <f ca="1">IFERROR(__xludf.DUMMYFUNCTION("IMPORTRANGE(""https://docs.google.com/spreadsheets/d/1-uDff_7J0KD5mKrp0Vvzr7lt3OU09vwQwhkpOPPYv2Y/edit?usp=sharing"",""งบพรบ!HQ23"")"),0)</f>
        <v>0</v>
      </c>
      <c r="N607" s="558">
        <f ca="1">IFERROR(__xludf.DUMMYFUNCTION("IMPORTRANGE(""https://docs.google.com/spreadsheets/d/1-uDff_7J0KD5mKrp0Vvzr7lt3OU09vwQwhkpOPPYv2Y/edit?usp=sharing"",""งบพรบ!HS23"")"),0)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IFERROR(__xludf.DUMMYFUNCTION("IMPORTRANGE(""https://docs.google.com/spreadsheets/d/1ItG2mGa2ceCfYo0BwxsXqNm01IGEUdYcSSLTEv9YCik/edit?usp=sharing"",""เบิกจ่ายกองทุน!AY23"")"),0)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IFERROR(__xludf.DUMMYFUNCTION("IMPORTRANGE(""https://docs.google.com/spreadsheets/d/1ItG2mGa2ceCfYo0BwxsXqNm01IGEUdYcSSLTEv9YCik/edit?usp=sharing"",""เบิกจ่ายกองทุน!AZ23"")"),0)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IFERROR(__xludf.DUMMYFUNCTION("IMPORTRANGE(""https://docs.google.com/spreadsheets/d/1ItG2mGa2ceCfYo0BwxsXqNm01IGEUdYcSSLTEv9YCik/edit?usp=sharing"",""เบิกจ่ายกองทุน!BA23"")"),0)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1875</v>
      </c>
      <c r="R616" s="547">
        <f ca="1">R617+R618</f>
        <v>1875</v>
      </c>
      <c r="S616" s="547">
        <f ca="1">S617+S618</f>
        <v>1875</v>
      </c>
      <c r="T616" s="547">
        <f ca="1">IF(Q616&gt;0,S616*100/Q616,0)</f>
        <v>100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1875</v>
      </c>
      <c r="R618" s="224">
        <f ca="1">R621+R624</f>
        <v>1875</v>
      </c>
      <c r="S618" s="224">
        <f ca="1">S621+S624</f>
        <v>1875</v>
      </c>
      <c r="T618" s="224">
        <f ca="1">IF(Q618&gt;0,S618*100/Q618,0)</f>
        <v>100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1875</v>
      </c>
      <c r="R619" s="224">
        <f ca="1">R620+R621</f>
        <v>1875</v>
      </c>
      <c r="S619" s="224">
        <f ca="1">S620+S621</f>
        <v>1875</v>
      </c>
      <c r="T619" s="224">
        <f ca="1">IF(Q619&gt;0,S619*100/Q619,0)</f>
        <v>100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IFERROR(__xludf.DUMMYFUNCTION("IMPORTRANGE(""https://docs.google.com/spreadsheets/d/1ItG2mGa2ceCfYo0BwxsXqNm01IGEUdYcSSLTEv9YCik/edit?usp=sharing"",""เบิกจ่ายกองทุน!F23"")"),1875)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IFERROR(__xludf.DUMMYFUNCTION("IMPORTRANGE(""https://docs.google.com/spreadsheets/d/1ItG2mGa2ceCfYo0BwxsXqNm01IGEUdYcSSLTEv9YCik/edit?usp=sharing"",""เบิกจ่ายกองทุน!G23"")"),1875)</f>
        <v>1875</v>
      </c>
      <c r="S621" s="224">
        <f ca="1">IFERROR(__xludf.DUMMYFUNCTION("IMPORTRANGE(""https://docs.google.com/spreadsheets/d/1ItG2mGa2ceCfYo0BwxsXqNm01IGEUdYcSSLTEv9YCik/edit?usp=sharing"",""เบิกจ่ายกองทุน!H23"")"),1875)</f>
        <v>1875</v>
      </c>
      <c r="T621" s="224">
        <f ca="1">IF(Q621&gt;0,S621*100/Q621,0)</f>
        <v>100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IFERROR(__xludf.DUMMYFUNCTION("IMPORTRANGE(""https://docs.google.com/spreadsheets/d/1eHaY18a8A9IcSdp1K8H6x8fbOy06t2VsZHhMHf-1x7Y/edit?usp=sharing"",""แผน!ID23"")"),0)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IFERROR(__xludf.DUMMYFUNCTION("IMPORTRANGE(""https://docs.google.com/spreadsheets/d/1eHaY18a8A9IcSdp1K8H6x8fbOy06t2VsZHhMHf-1x7Y/edit?usp=sharing"",""แผน!IC23"")"),1)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IFERROR(__xludf.DUMMYFUNCTION("IMPORTRANGE(""https://docs.google.com/spreadsheets/d/1eHaY18a8A9IcSdp1K8H6x8fbOy06t2VsZHhMHf-1x7Y/edit?usp=sharing"",""แผน!IC23"")"),1)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IFERROR(__xludf.DUMMYFUNCTION("IMPORTRANGE(""https://docs.google.com/spreadsheets/d/1eHaY18a8A9IcSdp1K8H6x8fbOy06t2VsZHhMHf-1x7Y/edit?usp=sharing"",""แผน!IE23"")"),0)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22120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22120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22120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7" s="224">
        <f ca="1">IFERROR(__xludf.DUMMYFUNCTION("IMPORTRANGE(""https://docs.google.com/spreadsheets/d/1ItG2mGa2ceCfYo0BwxsXqNm01IGEUdYcSSLTEv9YCik/edit?usp=sharing"",""เบิกจ่ายกองทุน!J23"")"),0)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IFERROR(__xludf.DUMMYFUNCTION("IMPORTRANGE(""https://docs.google.com/spreadsheets/d/1ItG2mGa2ceCfYo0BwxsXqNm01IGEUdYcSSLTEv9YCik/edit?usp=sharing"",""เบิกจ่ายกองทุน!K23"")"),0)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IFERROR(__xludf.DUMMYFUNCTION("IMPORTRANGE(""https://docs.google.com/spreadsheets/d/1eHaY18a8A9IcSdp1K8H6x8fbOy06t2VsZHhMHf-1x7Y/edit?usp=sharing"",""แผน!IF23"")"),0)</f>
        <v>0</v>
      </c>
      <c r="J652" s="184">
        <f ca="1">IFERROR(__xludf.DUMMYFUNCTION("IMPORTRANGE(""https://docs.google.com/spreadsheets/d/1tdoBKaGub7dwA3U6UFTqxio9LNnvDCQjHKmttSEBsFQ/edit?usp=sharing"",""จัดที่ดิน!AU23"")"),0)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IFERROR(__xludf.DUMMYFUNCTION("IMPORTRANGE(""https://docs.google.com/spreadsheets/d/1eHaY18a8A9IcSdp1K8H6x8fbOy06t2VsZHhMHf-1x7Y/edit?usp=sharing"",""แผน!IG23"")"),0)</f>
        <v>0</v>
      </c>
      <c r="J653" s="184">
        <f ca="1">IFERROR(__xludf.DUMMYFUNCTION("IMPORTRANGE(""https://docs.google.com/spreadsheets/d/1tdoBKaGub7dwA3U6UFTqxio9LNnvDCQjHKmttSEBsFQ/edit?usp=sharing"",""จัดที่ดิน!AW23"")"),0)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IFERROR(__xludf.DUMMYFUNCTION("IMPORTRANGE(""https://docs.google.com/spreadsheets/d/1eHaY18a8A9IcSdp1K8H6x8fbOy06t2VsZHhMHf-1x7Y/edit?usp=sharing"",""แผน!IH23"")"),0)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IFERROR(__xludf.DUMMYFUNCTION("IMPORTRANGE(""https://docs.google.com/spreadsheets/d/1eHaY18a8A9IcSdp1K8H6x8fbOy06t2VsZHhMHf-1x7Y/edit?usp=sharing"",""แผน!II23"")"),0)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IFERROR(__xludf.DUMMYFUNCTION("IMPORTRANGE(""https://docs.google.com/spreadsheets/d/1eHaY18a8A9IcSdp1K8H6x8fbOy06t2VsZHhMHf-1x7Y/edit?usp=sharing"",""แผน!IJ23"")"),0)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IFERROR(__xludf.DUMMYFUNCTION("IMPORTRANGE(""https://docs.google.com/spreadsheets/d/1eHaY18a8A9IcSdp1K8H6x8fbOy06t2VsZHhMHf-1x7Y/edit?usp=sharing"",""แผน!IK23"")"),522)</f>
        <v>522</v>
      </c>
      <c r="J661" s="338">
        <f>J667+J670</f>
        <v>522</v>
      </c>
      <c r="K661" s="547">
        <f ca="1">IF(I661&gt;0,J661*100/I661,0)</f>
        <v>100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57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57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522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IFERROR(__xludf.DUMMYFUNCTION("IMPORTRANGE(""https://docs.google.com/spreadsheets/d/1tdoBKaGub7dwA3U6UFTqxio9LNnvDCQjHKmttSEBsFQ/edit?usp=sharing"",""จัดที่ดิน!AY23"")"),0)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IFERROR(__xludf.DUMMYFUNCTION("IMPORTRANGE(""https://docs.google.com/spreadsheets/d/1tdoBKaGub7dwA3U6UFTqxio9LNnvDCQjHKmttSEBsFQ/edit?usp=sharing"",""จัดที่ดิน!AZ23"")"),0)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IFERROR(__xludf.DUMMYFUNCTION("IMPORTRANGE(""https://docs.google.com/spreadsheets/d/1eHaY18a8A9IcSdp1K8H6x8fbOy06t2VsZHhMHf-1x7Y/edit?usp=sharing"",""แผน!IL23"")"),0)</f>
        <v>0</v>
      </c>
      <c r="J673" s="184">
        <f ca="1">IFERROR(__xludf.DUMMYFUNCTION("IMPORTRANGE(""https://docs.google.com/spreadsheets/d/1tdoBKaGub7dwA3U6UFTqxio9LNnvDCQjHKmttSEBsFQ/edit?usp=sharing"",""จัดที่ดิน!BA23"")"),0)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IFERROR(__xludf.DUMMYFUNCTION("IMPORTRANGE(""https://docs.google.com/spreadsheets/d/1eHaY18a8A9IcSdp1K8H6x8fbOy06t2VsZHhMHf-1x7Y/edit?usp=sharing"",""แผน!IM23"")"),2)</f>
        <v>2</v>
      </c>
      <c r="J674" s="338">
        <f ca="1">J676+J679</f>
        <v>1</v>
      </c>
      <c r="K674" s="547">
        <f ca="1">IF(I674&gt;0,J674*100/I674,0)</f>
        <v>50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IFERROR(__xludf.DUMMYFUNCTION("IMPORTRANGE(""https://docs.google.com/spreadsheets/d/1eHaY18a8A9IcSdp1K8H6x8fbOy06t2VsZHhMHf-1x7Y/edit?usp=sharing"",""แผน!IN23"")"),18)</f>
        <v>18</v>
      </c>
      <c r="J675" s="338">
        <f ca="1">J678+J681</f>
        <v>10.18</v>
      </c>
      <c r="K675" s="547">
        <f ca="1">IF(I675&gt;0,J675*100/I675,0)</f>
        <v>56.555555555555557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IFERROR(__xludf.DUMMYFUNCTION("IMPORTRANGE(""https://docs.google.com/spreadsheets/d/1eHaY18a8A9IcSdp1K8H6x8fbOy06t2VsZHhMHf-1x7Y/edit?usp=sharing"",""แผน!IO23"")"),2)</f>
        <v>2</v>
      </c>
      <c r="J676" s="184">
        <f ca="1">IFERROR(__xludf.DUMMYFUNCTION("IMPORTRANGE(""https://docs.google.com/spreadsheets/d/1tdoBKaGub7dwA3U6UFTqxio9LNnvDCQjHKmttSEBsFQ/edit?usp=sharing"",""จัดที่ดิน!BF23"")"),1)</f>
        <v>1</v>
      </c>
      <c r="K676" s="224">
        <f ca="1">IF(I676&gt;0,J676*100/I676,0)</f>
        <v>50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IFERROR(__xludf.DUMMYFUNCTION("IMPORTRANGE(""https://docs.google.com/spreadsheets/d/1tdoBKaGub7dwA3U6UFTqxio9LNnvDCQjHKmttSEBsFQ/edit?usp=sharing"",""จัดที่ดิน!BG23"")"),1)</f>
        <v>1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IFERROR(__xludf.DUMMYFUNCTION("IMPORTRANGE(""https://docs.google.com/spreadsheets/d/1eHaY18a8A9IcSdp1K8H6x8fbOy06t2VsZHhMHf-1x7Y/edit?usp=sharing"",""แผน!IP23"")"),18)</f>
        <v>18</v>
      </c>
      <c r="J678" s="184">
        <f ca="1">IFERROR(__xludf.DUMMYFUNCTION("IMPORTRANGE(""https://docs.google.com/spreadsheets/d/1tdoBKaGub7dwA3U6UFTqxio9LNnvDCQjHKmttSEBsFQ/edit?usp=sharing"",""จัดที่ดิน!BH23"")"),10.18)</f>
        <v>10.18</v>
      </c>
      <c r="K678" s="224">
        <f ca="1">IF(I678&gt;0,J678*100/I678,0)</f>
        <v>56.555555555555557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IFERROR(__xludf.DUMMYFUNCTION("IMPORTRANGE(""https://docs.google.com/spreadsheets/d/1eHaY18a8A9IcSdp1K8H6x8fbOy06t2VsZHhMHf-1x7Y/edit?usp=sharing"",""แผน!IQ23"")"),0)</f>
        <v>0</v>
      </c>
      <c r="J679" s="184">
        <f ca="1">IFERROR(__xludf.DUMMYFUNCTION("IMPORTRANGE(""https://docs.google.com/spreadsheets/d/1tdoBKaGub7dwA3U6UFTqxio9LNnvDCQjHKmttSEBsFQ/edit?usp=sharing"",""จัดที่ดิน!BK23"")"),0)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IFERROR(__xludf.DUMMYFUNCTION("IMPORTRANGE(""https://docs.google.com/spreadsheets/d/1tdoBKaGub7dwA3U6UFTqxio9LNnvDCQjHKmttSEBsFQ/edit?usp=sharing"",""จัดที่ดิน!BL23"")"),0)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IFERROR(__xludf.DUMMYFUNCTION("IMPORTRANGE(""https://docs.google.com/spreadsheets/d/1eHaY18a8A9IcSdp1K8H6x8fbOy06t2VsZHhMHf-1x7Y/edit?usp=sharing"",""แผน!IR23"")"),0)</f>
        <v>0</v>
      </c>
      <c r="J681" s="184">
        <f ca="1">IFERROR(__xludf.DUMMYFUNCTION("IMPORTRANGE(""https://docs.google.com/spreadsheets/d/1tdoBKaGub7dwA3U6UFTqxio9LNnvDCQjHKmttSEBsFQ/edit?usp=sharing"",""จัดที่ดิน!BM23"")"),0)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IFERROR(__xludf.DUMMYFUNCTION("IMPORTRANGE(""https://docs.google.com/spreadsheets/d/1eHaY18a8A9IcSdp1K8H6x8fbOy06t2VsZHhMHf-1x7Y/edit?usp=sharing"",""แผน!IS23"")"),0)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200</v>
      </c>
      <c r="J689" s="552">
        <f ca="1">J707</f>
        <v>125</v>
      </c>
      <c r="K689" s="551">
        <f ca="1">IF(I689&gt;0,J689*100/I689,0)</f>
        <v>62.5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324340</v>
      </c>
      <c r="R690" s="547">
        <f ca="1">R691+R692</f>
        <v>324340</v>
      </c>
      <c r="S690" s="547">
        <f ca="1">S691+S692</f>
        <v>240849.5</v>
      </c>
      <c r="T690" s="547">
        <f ca="1">IF(Q690&gt;0,S690*100/Q690,0)</f>
        <v>74.258340013566013</v>
      </c>
      <c r="U690" s="547">
        <f ca="1">IF(R690&gt;0,S690*100/R690,0)</f>
        <v>74.258340013566013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324340</v>
      </c>
      <c r="R692" s="224">
        <f ca="1">R695+R698</f>
        <v>324340</v>
      </c>
      <c r="S692" s="224">
        <f ca="1">S695+S698</f>
        <v>240849.5</v>
      </c>
      <c r="T692" s="224">
        <f ca="1">IF(Q692&gt;0,S692*100/Q692,0)</f>
        <v>74.258340013566013</v>
      </c>
      <c r="U692" s="224">
        <f ca="1">IF(R692&gt;0,S692*100/R692,0)</f>
        <v>74.258340013566013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324340</v>
      </c>
      <c r="R693" s="224">
        <f ca="1">R694+R695</f>
        <v>324340</v>
      </c>
      <c r="S693" s="224">
        <f ca="1">S694+S695</f>
        <v>240849.5</v>
      </c>
      <c r="T693" s="224">
        <f ca="1">IF(Q693&gt;0,S693*100/Q693,0)</f>
        <v>74.258340013566013</v>
      </c>
      <c r="U693" s="224">
        <f ca="1">IF(R693&gt;0,S693*100/R693,0)</f>
        <v>74.258340013566013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5" s="224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5" s="224">
        <f ca="1">IFERROR(__xludf.DUMMYFUNCTION("IMPORTRANGE(""https://docs.google.com/spreadsheets/d/1ItG2mGa2ceCfYo0BwxsXqNm01IGEUdYcSSLTEv9YCik/edit?usp=sharing"",""เบิกจ่ายกองทุน!N23"")"),240849.5)</f>
        <v>240849.5</v>
      </c>
      <c r="T695" s="224">
        <f ca="1">IF(Q695&gt;0,S695*100/Q695,0)</f>
        <v>74.258340013566013</v>
      </c>
      <c r="U695" s="224">
        <f ca="1">IF(R695&gt;0,S695*100/R695,0)</f>
        <v>74.258340013566013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IFERROR(__xludf.DUMMYFUNCTION("IMPORTRANGE(""https://docs.google.com/spreadsheets/d/1eHaY18a8A9IcSdp1K8H6x8fbOy06t2VsZHhMHf-1x7Y/edit?usp=sharing"",""แผน!LC23"")"),0)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204</v>
      </c>
      <c r="J701" s="338">
        <f ca="1">J703+J705</f>
        <v>215</v>
      </c>
      <c r="K701" s="547">
        <f ca="1">IF(I701&gt;0,J701*100/I701,0)</f>
        <v>105.3921568627451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78.56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IFERROR(__xludf.DUMMYFUNCTION("IMPORTRANGE(""https://docs.google.com/spreadsheets/d/1eHaY18a8A9IcSdp1K8H6x8fbOy06t2VsZHhMHf-1x7Y/edit?usp=sharing"",""แผน!LJ23"")"),200)</f>
        <v>200</v>
      </c>
      <c r="J703" s="184">
        <f ca="1">IFERROR(__xludf.DUMMYFUNCTION("IMPORTRANGE(""https://docs.google.com/spreadsheets/d/1tdoBKaGub7dwA3U6UFTqxio9LNnvDCQjHKmttSEBsFQ/edit?usp=sharing"",""จัดที่ดิน!AP23"")"),215)</f>
        <v>215</v>
      </c>
      <c r="K703" s="224">
        <f ca="1">IF(I703&gt;0,J703*100/I703,0)</f>
        <v>107.5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IFERROR(__xludf.DUMMYFUNCTION("IMPORTRANGE(""https://docs.google.com/spreadsheets/d/1tdoBKaGub7dwA3U6UFTqxio9LNnvDCQjHKmttSEBsFQ/edit?usp=sharing"",""จัดที่ดิน!AQ23"")"),78.56)</f>
        <v>78.56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IFERROR(__xludf.DUMMYFUNCTION("IMPORTRANGE(""https://docs.google.com/spreadsheets/d/1eHaY18a8A9IcSdp1K8H6x8fbOy06t2VsZHhMHf-1x7Y/edit?usp=sharing"",""แผน!LK23"")"),4)</f>
        <v>4</v>
      </c>
      <c r="J705" s="184">
        <f ca="1">IFERROR(__xludf.DUMMYFUNCTION("IMPORTRANGE(""https://docs.google.com/spreadsheets/d/1tdoBKaGub7dwA3U6UFTqxio9LNnvDCQjHKmttSEBsFQ/edit?usp=sharing"",""จัดที่ดิน!AR23"")"),0)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IFERROR(__xludf.DUMMYFUNCTION("IMPORTRANGE(""https://docs.google.com/spreadsheets/d/1tdoBKaGub7dwA3U6UFTqxio9LNnvDCQjHKmttSEBsFQ/edit?usp=sharing"",""จัดที่ดิน!AS23"")"),0)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IFERROR(__xludf.DUMMYFUNCTION("IMPORTRANGE(""https://docs.google.com/spreadsheets/d/1eHaY18a8A9IcSdp1K8H6x8fbOy06t2VsZHhMHf-1x7Y/edit?usp=sharing"",""แผน!LJ23"")"),200)</f>
        <v>200</v>
      </c>
      <c r="J707" s="184">
        <f ca="1">IFERROR(__xludf.DUMMYFUNCTION("IMPORTRANGE(""https://docs.google.com/spreadsheets/d/1tdoBKaGub7dwA3U6UFTqxio9LNnvDCQjHKmttSEBsFQ/edit?usp=sharing"",""จัดที่ดิน!BN23"")"),125)</f>
        <v>125</v>
      </c>
      <c r="K707" s="224">
        <f ca="1">IF(I707&gt;0,J707*100/I707,0)</f>
        <v>62.5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IFERROR(__xludf.DUMMYFUNCTION("IMPORTRANGE(""https://docs.google.com/spreadsheets/d/1tdoBKaGub7dwA3U6UFTqxio9LNnvDCQjHKmttSEBsFQ/edit?usp=sharing"",""จัดที่ดิน!BO23"")"),51)</f>
        <v>51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IFERROR(__xludf.DUMMYFUNCTION("IMPORTRANGE(""https://docs.google.com/spreadsheets/d/1eHaY18a8A9IcSdp1K8H6x8fbOy06t2VsZHhMHf-1x7Y/edit?usp=sharing"",""แผน!LK23"")"),4)</f>
        <v>4</v>
      </c>
      <c r="J709" s="184">
        <f ca="1">IFERROR(__xludf.DUMMYFUNCTION("IMPORTRANGE(""https://docs.google.com/spreadsheets/d/1tdoBKaGub7dwA3U6UFTqxio9LNnvDCQjHKmttSEBsFQ/edit?usp=sharing"",""จัดที่ดิน!BP23"")"),10)</f>
        <v>10</v>
      </c>
      <c r="K709" s="224">
        <f ca="1">IF(I709&gt;0,J709*100/I709,0)</f>
        <v>250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IFERROR(__xludf.DUMMYFUNCTION("IMPORTRANGE(""https://docs.google.com/spreadsheets/d/1tdoBKaGub7dwA3U6UFTqxio9LNnvDCQjHKmttSEBsFQ/edit?usp=sharing"",""จัดที่ดิน!BQ23"")"),0)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IFERROR(__xludf.DUMMYFUNCTION("IMPORTRANGE(""https://docs.google.com/spreadsheets/d/1eHaY18a8A9IcSdp1K8H6x8fbOy06t2VsZHhMHf-1x7Y/edit?usp=sharing"",""แผน!GA23"")"),51)</f>
        <v>51</v>
      </c>
      <c r="J726" s="552">
        <f>J742+J746+J749</f>
        <v>51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IFERROR(__xludf.DUMMYFUNCTION("IMPORTRANGE(""https://docs.google.com/spreadsheets/d/1eHaY18a8A9IcSdp1K8H6x8fbOy06t2VsZHhMHf-1x7Y/edit?usp=sharing"",""แผน!FZ23"")"),500)</f>
        <v>500</v>
      </c>
      <c r="J727" s="552">
        <f>J752+J755</f>
        <v>500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379090</v>
      </c>
      <c r="R728" s="547">
        <f ca="1">R729+R730</f>
        <v>379090</v>
      </c>
      <c r="S728" s="547">
        <f ca="1">S729+S730</f>
        <v>367610</v>
      </c>
      <c r="T728" s="547">
        <f ca="1">IF(Q728&gt;0,S728*100/Q728,0)</f>
        <v>96.971695375768292</v>
      </c>
      <c r="U728" s="547">
        <f ca="1">IF(R728&gt;0,S728*100/R728,0)</f>
        <v>96.971695375768292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379090</v>
      </c>
      <c r="R730" s="224">
        <f ca="1">R733+R736</f>
        <v>379090</v>
      </c>
      <c r="S730" s="224">
        <f ca="1">S733+S736</f>
        <v>367610</v>
      </c>
      <c r="T730" s="224">
        <f ca="1">IF(Q730&gt;0,S730*100/Q730,0)</f>
        <v>96.971695375768292</v>
      </c>
      <c r="U730" s="224">
        <f ca="1">IF(R730&gt;0,S730*100/R730,0)</f>
        <v>96.971695375768292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367610</v>
      </c>
      <c r="T731" s="224">
        <f ca="1">IF(Q731&gt;0,S731*100/Q731,0)</f>
        <v>96.971695375768292</v>
      </c>
      <c r="U731" s="224">
        <f ca="1">IF(R731&gt;0,S731*100/R731,0)</f>
        <v>96.971695375768292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IFERROR(__xludf.DUMMYFUNCTION("IMPORTRANGE(""https://docs.google.com/spreadsheets/d/1ItG2mGa2ceCfYo0BwxsXqNm01IGEUdYcSSLTEv9YCik/edit?usp=sharing"",""เบิกจ่ายกองทุน!Q23"")"),367610)</f>
        <v>367610</v>
      </c>
      <c r="T733" s="224">
        <f ca="1">IF(Q733&gt;0,S733*100/Q733,0)</f>
        <v>96.971695375768292</v>
      </c>
      <c r="U733" s="224">
        <f ca="1">IF(R733&gt;0,S733*100/R733,0)</f>
        <v>96.971695375768292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IFERROR(__xludf.DUMMYFUNCTION("IMPORTRANGE(""https://docs.google.com/spreadsheets/d/1eHaY18a8A9IcSdp1K8H6x8fbOy06t2VsZHhMHf-1x7Y/edit?usp=sharing"",""แผน!GB23"")"),400)</f>
        <v>400</v>
      </c>
      <c r="J740" s="380">
        <v>400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IFERROR(__xludf.DUMMYFUNCTION("IMPORTRANGE(""https://docs.google.com/spreadsheets/d/1eHaY18a8A9IcSdp1K8H6x8fbOy06t2VsZHhMHf-1x7Y/edit?usp=sharing"",""แผน!GC23"")"),40)</f>
        <v>40</v>
      </c>
      <c r="J742" s="555">
        <v>40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IFERROR(__xludf.DUMMYFUNCTION("IMPORTRANGE(""https://docs.google.com/spreadsheets/d/1eHaY18a8A9IcSdp1K8H6x8fbOy06t2VsZHhMHf-1x7Y/edit?usp=sharing"",""แผน!GD23"")"),100)</f>
        <v>100</v>
      </c>
      <c r="J744" s="555">
        <v>100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IFERROR(__xludf.DUMMYFUNCTION("IMPORTRANGE(""https://docs.google.com/spreadsheets/d/1eHaY18a8A9IcSdp1K8H6x8fbOy06t2VsZHhMHf-1x7Y/edit?usp=sharing"",""แผน!GE23"")"),10)</f>
        <v>10</v>
      </c>
      <c r="J746" s="555">
        <v>10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IFERROR(__xludf.DUMMYFUNCTION("IMPORTRANGE(""https://docs.google.com/spreadsheets/d/1eHaY18a8A9IcSdp1K8H6x8fbOy06t2VsZHhMHf-1x7Y/edit?usp=sharing"",""แผน!GF23"")"),1)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IFERROR(__xludf.DUMMYFUNCTION("IMPORTRANGE(""https://docs.google.com/spreadsheets/d/1eHaY18a8A9IcSdp1K8H6x8fbOy06t2VsZHhMHf-1x7Y/edit?usp=sharing"",""แผน!GB23"")"),400)</f>
        <v>400</v>
      </c>
      <c r="J752" s="555">
        <v>400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IFERROR(__xludf.DUMMYFUNCTION("IMPORTRANGE(""https://docs.google.com/spreadsheets/d/1eHaY18a8A9IcSdp1K8H6x8fbOy06t2VsZHhMHf-1x7Y/edit?usp=sharing"",""แผน!GD23"")"),100)</f>
        <v>100</v>
      </c>
      <c r="J755" s="555">
        <v>100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79</v>
      </c>
      <c r="J758" s="552">
        <f>J772</f>
        <v>79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406</v>
      </c>
      <c r="J759" s="552">
        <f>J774</f>
        <v>406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790870</v>
      </c>
      <c r="R760" s="547">
        <f ca="1">R761+R762</f>
        <v>790870</v>
      </c>
      <c r="S760" s="547">
        <f ca="1">S761+S762</f>
        <v>744142.5</v>
      </c>
      <c r="T760" s="547">
        <f ca="1">IF(Q760&gt;0,S760*100/Q760,0)</f>
        <v>94.09163326463262</v>
      </c>
      <c r="U760" s="547">
        <f ca="1">IF(R760&gt;0,S760*100/R760,0)</f>
        <v>94.09163326463262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790870</v>
      </c>
      <c r="R762" s="224">
        <f ca="1">R765+R768</f>
        <v>790870</v>
      </c>
      <c r="S762" s="224">
        <f ca="1">S765+S768</f>
        <v>744142.5</v>
      </c>
      <c r="T762" s="224">
        <f ca="1">IF(Q762&gt;0,S762*100/Q762,0)</f>
        <v>94.09163326463262</v>
      </c>
      <c r="U762" s="224">
        <f ca="1">IF(R762&gt;0,S762*100/R762,0)</f>
        <v>94.09163326463262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790870</v>
      </c>
      <c r="R763" s="224">
        <f ca="1">R764+R765</f>
        <v>790870</v>
      </c>
      <c r="S763" s="224">
        <f ca="1">S764+S765</f>
        <v>744142.5</v>
      </c>
      <c r="T763" s="224">
        <f ca="1">IF(Q763&gt;0,S763*100/Q763,0)</f>
        <v>94.09163326463262</v>
      </c>
      <c r="U763" s="224">
        <f ca="1">IF(R763&gt;0,S763*100/R763,0)</f>
        <v>94.09163326463262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IFERROR(__xludf.DUMMYFUNCTION("IMPORTRANGE(""https://docs.google.com/spreadsheets/d/1ItG2mGa2ceCfYo0BwxsXqNm01IGEUdYcSSLTEv9YCik/edit?usp=sharing"",""เบิกจ่ายกองทุน!AA23"")"),790870)</f>
        <v>790870</v>
      </c>
      <c r="R765" s="224">
        <f ca="1">IFERROR(__xludf.DUMMYFUNCTION("IMPORTRANGE(""https://docs.google.com/spreadsheets/d/1ItG2mGa2ceCfYo0BwxsXqNm01IGEUdYcSSLTEv9YCik/edit?usp=sharing"",""เบิกจ่ายกองทุน!AB23"")"),790870)</f>
        <v>790870</v>
      </c>
      <c r="S765" s="224">
        <f ca="1">IFERROR(__xludf.DUMMYFUNCTION("IMPORTRANGE(""https://docs.google.com/spreadsheets/d/1ItG2mGa2ceCfYo0BwxsXqNm01IGEUdYcSSLTEv9YCik/edit?usp=sharing"",""เบิกจ่ายกองทุน!AC23"")"),744142.5)</f>
        <v>744142.5</v>
      </c>
      <c r="T765" s="224">
        <f ca="1">IF(Q765&gt;0,S765*100/Q765,0)</f>
        <v>94.09163326463262</v>
      </c>
      <c r="U765" s="224">
        <f ca="1">IF(R765&gt;0,S765*100/R765,0)</f>
        <v>94.09163326463262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IFERROR(__xludf.DUMMYFUNCTION("IMPORTRANGE(""https://docs.google.com/spreadsheets/d/1eHaY18a8A9IcSdp1K8H6x8fbOy06t2VsZHhMHf-1x7Y/edit?usp=sharing"",""แผน!FI23"")"),1)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IFERROR(__xludf.DUMMYFUNCTION("IMPORTRANGE(""https://docs.google.com/spreadsheets/d/1eHaY18a8A9IcSdp1K8H6x8fbOy06t2VsZHhMHf-1x7Y/edit?usp=sharing"",""แผน!FQ23"")"),79)</f>
        <v>79</v>
      </c>
      <c r="J772" s="380">
        <v>79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IFERROR(__xludf.DUMMYFUNCTION("IMPORTRANGE(""https://docs.google.com/spreadsheets/d/1eHaY18a8A9IcSdp1K8H6x8fbOy06t2VsZHhMHf-1x7Y/edit?usp=sharing"",""แผน!FR23"")"),406)</f>
        <v>406</v>
      </c>
      <c r="J774" s="380">
        <v>406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IFERROR(__xludf.DUMMYFUNCTION("IMPORTRANGE(""https://docs.google.com/spreadsheets/d/1eHaY18a8A9IcSdp1K8H6x8fbOy06t2VsZHhMHf-1x7Y/edit?usp=sharing"",""แผน!FS23"")"),406)</f>
        <v>406</v>
      </c>
      <c r="J775" s="380">
        <v>406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IFERROR(__xludf.DUMMYFUNCTION("IMPORTRANGE(""https://docs.google.com/spreadsheets/d/1eHaY18a8A9IcSdp1K8H6x8fbOy06t2VsZHhMHf-1x7Y/edit?usp=sharing"",""แผน!FT23"")"),79)</f>
        <v>79</v>
      </c>
      <c r="J776" s="542">
        <v>79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IFERROR(__xludf.DUMMYFUNCTION("IMPORTRANGE(""https://docs.google.com/spreadsheets/d/10OvvATaaLtwErnr3qtWFcTmtbfpFEt5Bsqel9sXx0uE/edit?usp=sharing"",""งานกองทุน!D23"")"),1471741.96)</f>
        <v>1471741.96</v>
      </c>
      <c r="J778" s="184">
        <f ca="1">IFERROR(__xludf.DUMMYFUNCTION("IMPORTRANGE(""https://docs.google.com/spreadsheets/d/10OvvATaaLtwErnr3qtWFcTmtbfpFEt5Bsqel9sXx0uE/edit?usp=sharing"",""งานกองทุน!F23"")"),1575245.79)</f>
        <v>1575245.79</v>
      </c>
      <c r="K778" s="224">
        <f ca="1">IF(I778&gt;0,J778*100/I778,0)</f>
        <v>107.03274302242494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IFERROR(__xludf.DUMMYFUNCTION("IMPORTRANGE(""https://docs.google.com/spreadsheets/d/10OvvATaaLtwErnr3qtWFcTmtbfpFEt5Bsqel9sXx0uE/edit?usp=sharing"",""งานกองทุน!C23"")"),54)</f>
        <v>54</v>
      </c>
      <c r="J779" s="184">
        <f ca="1">IFERROR(__xludf.DUMMYFUNCTION("IMPORTRANGE(""https://docs.google.com/spreadsheets/d/10OvvATaaLtwErnr3qtWFcTmtbfpFEt5Bsqel9sXx0uE/edit?usp=sharing"",""งานกองทุน!E23"")"),414)</f>
        <v>414</v>
      </c>
      <c r="K779" s="224">
        <f ca="1">IF(I779&gt;0,J779*100/I779,0)</f>
        <v>766.66666666666663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184">
        <f ca="1">IFERROR(__xludf.DUMMYFUNCTION("IMPORTRANGE(""https://docs.google.com/spreadsheets/d/10OvvATaaLtwErnr3qtWFcTmtbfpFEt5Bsqel9sXx0uE/edit?usp=sharing"",""งานกองทุน!K23"")"),2271724.55)</f>
        <v>2271724.5499999998</v>
      </c>
      <c r="K780" s="224">
        <f ca="1">IF(I780&gt;0,J780*100/I780,0)</f>
        <v>7.5104862605415503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IFERROR(__xludf.DUMMYFUNCTION("IMPORTRANGE(""https://docs.google.com/spreadsheets/d/10OvvATaaLtwErnr3qtWFcTmtbfpFEt5Bsqel9sXx0uE/edit?usp=sharing"",""งานกองทุน!H23"")"),1110)</f>
        <v>1110</v>
      </c>
      <c r="J781" s="184">
        <f ca="1">IFERROR(__xludf.DUMMYFUNCTION("IMPORTRANGE(""https://docs.google.com/spreadsheets/d/10OvvATaaLtwErnr3qtWFcTmtbfpFEt5Bsqel9sXx0uE/edit?usp=sharing"",""งานกองทุน!J23"")"),426)</f>
        <v>426</v>
      </c>
      <c r="K781" s="224">
        <f ca="1">IF(I781&gt;0,J781*100/I781,0)</f>
        <v>38.378378378378379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184">
        <f ca="1">IFERROR(__xludf.DUMMYFUNCTION("IMPORTRANGE(""https://docs.google.com/spreadsheets/d/10OvvATaaLtwErnr3qtWFcTmtbfpFEt5Bsqel9sXx0uE/edit?usp=sharing"",""งานกองทุน!P23"")"),383481.46)</f>
        <v>383481.46</v>
      </c>
      <c r="K782" s="224">
        <f ca="1">IF(I782&gt;0,J782*100/I782,0)</f>
        <v>14.382594381665751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IFERROR(__xludf.DUMMYFUNCTION("IMPORTRANGE(""https://docs.google.com/spreadsheets/d/10OvvATaaLtwErnr3qtWFcTmtbfpFEt5Bsqel9sXx0uE/edit?usp=sharing"",""งานกองทุน!M23"")"),131)</f>
        <v>131</v>
      </c>
      <c r="J783" s="184">
        <f ca="1">IFERROR(__xludf.DUMMYFUNCTION("IMPORTRANGE(""https://docs.google.com/spreadsheets/d/10OvvATaaLtwErnr3qtWFcTmtbfpFEt5Bsqel9sXx0uE/edit?usp=sharing"",""งานกองทุน!O23"")"),62)</f>
        <v>62</v>
      </c>
      <c r="K783" s="224">
        <f ca="1">IF(I783&gt;0,J783*100/I783,0)</f>
        <v>47.328244274809158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IFERROR(__xludf.DUMMYFUNCTION("IMPORTRANGE(""https://docs.google.com/spreadsheets/d/10OvvATaaLtwErnr3qtWFcTmtbfpFEt5Bsqel9sXx0uE/edit?usp=sharing"",""งานกองทุน!S23"")"),14504000)</f>
        <v>14504000</v>
      </c>
      <c r="J784" s="184">
        <f ca="1">IFERROR(__xludf.DUMMYFUNCTION("IMPORTRANGE(""https://docs.google.com/spreadsheets/d/10OvvATaaLtwErnr3qtWFcTmtbfpFEt5Bsqel9sXx0uE/edit?usp=sharing"",""งานกองทุน!U23"")"),3176000)</f>
        <v>3176000</v>
      </c>
      <c r="K784" s="224">
        <f ca="1">IF(I784&gt;0,J784*100/I784,0)</f>
        <v>21.897407611693325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IFERROR(__xludf.DUMMYFUNCTION("IMPORTRANGE(""https://docs.google.com/spreadsheets/d/10OvvATaaLtwErnr3qtWFcTmtbfpFEt5Bsqel9sXx0uE/edit?usp=sharing"",""งานกองทุน!R23"")"),518)</f>
        <v>518</v>
      </c>
      <c r="J785" s="188">
        <f ca="1">IFERROR(__xludf.DUMMYFUNCTION("IMPORTRANGE(""https://docs.google.com/spreadsheets/d/10OvvATaaLtwErnr3qtWFcTmtbfpFEt5Bsqel9sXx0uE/edit?usp=sharing"",""งานกองทุน!T23"")"),114)</f>
        <v>114</v>
      </c>
      <c r="K785" s="508">
        <f ca="1">IF(I785&gt;0,J785*100/I785,0)</f>
        <v>22.007722007722009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2A4F0-8CC6-4629-9398-2E2F6361055C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338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5526981</v>
      </c>
      <c r="M18" s="755">
        <f ca="1">M19+M20</f>
        <v>5774101</v>
      </c>
      <c r="N18" s="755">
        <f ca="1">N19+N20</f>
        <v>5150463.8899999997</v>
      </c>
      <c r="O18" s="755">
        <f ca="1">IF(L18&gt;0,N18*100/L18,0)</f>
        <v>93.187653259528105</v>
      </c>
      <c r="P18" s="755">
        <f ca="1">IF(M18&gt;0,N18*100/M18,0)</f>
        <v>89.199407665366422</v>
      </c>
      <c r="Q18" s="755">
        <f ca="1">Q19+Q20</f>
        <v>2972338.39</v>
      </c>
      <c r="R18" s="755">
        <f ca="1">R19+R20</f>
        <v>2976538</v>
      </c>
      <c r="S18" s="755">
        <f ca="1">S19+S20</f>
        <v>1334966.5</v>
      </c>
      <c r="T18" s="755">
        <f ca="1">IF(Q18&gt;0,S18*100/Q18,0)</f>
        <v>44.91300534593573</v>
      </c>
      <c r="U18" s="755">
        <f ca="1">IF(R18&gt;0,S18*100/R18,0)</f>
        <v>44.849637397540363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5526981</v>
      </c>
      <c r="M20" s="794">
        <f ca="1">M23+M26</f>
        <v>5774101</v>
      </c>
      <c r="N20" s="794">
        <f ca="1">N23+N26</f>
        <v>5150463.8899999997</v>
      </c>
      <c r="O20" s="794">
        <f ca="1">IF(L20&gt;0,N20*100/L20,0)</f>
        <v>93.187653259528105</v>
      </c>
      <c r="P20" s="794">
        <f ca="1">IF(M20&gt;0,N20*100/M20,0)</f>
        <v>89.199407665366422</v>
      </c>
      <c r="Q20" s="794">
        <f ca="1">Q23+Q26</f>
        <v>2972338.39</v>
      </c>
      <c r="R20" s="794">
        <f ca="1">R23+R26</f>
        <v>2976538</v>
      </c>
      <c r="S20" s="794">
        <f ca="1">S23+S26</f>
        <v>1334966.5</v>
      </c>
      <c r="T20" s="794">
        <f ca="1">IF(Q20&gt;0,S20*100/Q20,0)</f>
        <v>44.91300534593573</v>
      </c>
      <c r="U20" s="794">
        <f ca="1">IF(R20&gt;0,S20*100/R20,0)</f>
        <v>44.849637397540363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3331981</v>
      </c>
      <c r="M21" s="224">
        <f ca="1">M22+M23</f>
        <v>3579101</v>
      </c>
      <c r="N21" s="224">
        <f ca="1">N22+N23</f>
        <v>3074323.5999999996</v>
      </c>
      <c r="O21" s="224">
        <f ca="1">IF(L21&gt;0,N21*100/L21,0)</f>
        <v>92.267140779014028</v>
      </c>
      <c r="P21" s="224">
        <f ca="1">IF(M21&gt;0,N21*100/M21,0)</f>
        <v>85.896531000382481</v>
      </c>
      <c r="Q21" s="224">
        <f ca="1">Q22+Q23</f>
        <v>2842338.39</v>
      </c>
      <c r="R21" s="224">
        <f ca="1">R22+R23</f>
        <v>2846538</v>
      </c>
      <c r="S21" s="224">
        <f ca="1">S22+S23</f>
        <v>1334966.5</v>
      </c>
      <c r="T21" s="224">
        <f ca="1">IF(Q21&gt;0,S21*100/Q21,0)</f>
        <v>46.967190982492411</v>
      </c>
      <c r="U21" s="224">
        <f ca="1">IF(R21&gt;0,S21*100/R21,0)</f>
        <v>46.897898429601149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3331981</v>
      </c>
      <c r="M23" s="224">
        <f ca="1">M49+M64+M77+M99+M122+M144+M162+M191+M178+M271+M287+M308+M325+M338+M361+M380+M418+M498+M518+M539+M560+M581+M604+M621+M647+M695+M719+M733+M765</f>
        <v>3579101</v>
      </c>
      <c r="N23" s="224">
        <f ca="1">N49+N64+N77+N99+N122+N144+N162+N191+N178+N271+N287+N308+N325+N338+N361+N380+N418+N498+N518+N539+N560+N581+N604+N621+N647+N695+N719+N733+N765</f>
        <v>3074323.5999999996</v>
      </c>
      <c r="O23" s="224">
        <f ca="1">IF(L23&gt;0,N23*100/L23,0)</f>
        <v>92.267140779014028</v>
      </c>
      <c r="P23" s="224">
        <f ca="1">IF(M23&gt;0,N23*100/M23,0)</f>
        <v>85.896531000382481</v>
      </c>
      <c r="Q23" s="224">
        <f ca="1">Q77+Q99+Q122+Q144+Q162+Q178+Q191+Q271+Q287+Q308+Q338+Q380+Q397+Q418+Q498+Q604+Q621+Q647+Q695+Q719+Q733+Q765</f>
        <v>2842338.39</v>
      </c>
      <c r="R23" s="224">
        <f ca="1">R77+R99+R122+R144+R162+R178+R191+R271+R287+R308+R338+R380+R397+R418+R498+R604+R621+R647+R695+R719+R733+R765</f>
        <v>2846538</v>
      </c>
      <c r="S23" s="224">
        <f ca="1">S77+S99+S122+S144+S162+S178+S191+S271+S287+S308+S338+S380+S397+S418+S498+S604+S621+S647+S695+S719+S733+S765</f>
        <v>1334966.5</v>
      </c>
      <c r="T23" s="224">
        <f ca="1">IF(Q23&gt;0,S23*100/Q23,0)</f>
        <v>46.967190982492411</v>
      </c>
      <c r="U23" s="224">
        <f ca="1">IF(R23&gt;0,S23*100/R23,0)</f>
        <v>46.897898429601149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2195000</v>
      </c>
      <c r="M24" s="224">
        <f ca="1">M25+M26</f>
        <v>2195000</v>
      </c>
      <c r="N24" s="224">
        <f ca="1">N25+N26</f>
        <v>2076140.29</v>
      </c>
      <c r="O24" s="224">
        <f ca="1">IF(L24&gt;0,N24*100/L24,0)</f>
        <v>94.584979043280185</v>
      </c>
      <c r="P24" s="224">
        <f ca="1">IF(M24&gt;0,N24*100/M24,0)</f>
        <v>94.584979043280185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2195000</v>
      </c>
      <c r="M26" s="224">
        <f ca="1">M52+M67+M80+M102+M125+M147+M165+M194+M181+M274+M290+M311+M328+M341+M364+M383+M421+M501+M521+M542+M563+M584+M607+M624+M650+M698+M722+M736+M768</f>
        <v>2195000</v>
      </c>
      <c r="N26" s="224">
        <f ca="1">N52+N67+N80+N102+N125+N147+N165+N194+N181+N274+N290+N311+N328+N341+N364+N383+N421+N501+N521+N542+N563+N584+N607+N624+N650+N698+N722+N736+N768</f>
        <v>2076140.29</v>
      </c>
      <c r="O26" s="224">
        <f ca="1">IF(L26&gt;0,N26*100/L26,0)</f>
        <v>94.584979043280185</v>
      </c>
      <c r="P26" s="224">
        <f ca="1">IF(M26&gt;0,N26*100/M26,0)</f>
        <v>94.584979043280185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4841060</v>
      </c>
      <c r="M40" s="790">
        <f ca="1">M44+M59+M72+M94+M125+M139+M157+M173+M186+M266+M282+M303+M320+M333+M356</f>
        <v>5088180</v>
      </c>
      <c r="N40" s="790">
        <f ca="1">N44+N59+N72+N94+N125+N139+N157+N173+N186+N266+N282+N303+N320+N333+N356</f>
        <v>4681049.8900000006</v>
      </c>
      <c r="O40" s="790">
        <f ca="1">IF(L40&gt;0,N40*100/L40,0)</f>
        <v>96.694729873209596</v>
      </c>
      <c r="P40" s="790">
        <f ca="1">IF(M40&gt;0,N40*100/M40,0)</f>
        <v>91.998512041633759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637200</v>
      </c>
      <c r="M44" s="784">
        <f ca="1">M45+M46</f>
        <v>653730</v>
      </c>
      <c r="N44" s="784">
        <f ca="1">N45+N46</f>
        <v>581830</v>
      </c>
      <c r="O44" s="784">
        <f ca="1">IF(L44&gt;0,N44*100/L44,0)</f>
        <v>91.310420590081605</v>
      </c>
      <c r="P44" s="784">
        <f ca="1">IF(M44&gt;0,N44*100/M44,0)</f>
        <v>89.001575574013742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637200</v>
      </c>
      <c r="M46" s="778">
        <f ca="1">M49+M52</f>
        <v>653730</v>
      </c>
      <c r="N46" s="778">
        <f ca="1">N49+N52</f>
        <v>581830</v>
      </c>
      <c r="O46" s="778">
        <f ca="1">IF(L46&gt;0,N46*100/L46,0)</f>
        <v>91.310420590081605</v>
      </c>
      <c r="P46" s="778">
        <f ca="1">IF(M46&gt;0,N46*100/M46,0)</f>
        <v>89.001575574013742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637200</v>
      </c>
      <c r="M47" s="224">
        <f ca="1">M48+M49</f>
        <v>653730</v>
      </c>
      <c r="N47" s="224">
        <f ca="1">N48+N49</f>
        <v>581830</v>
      </c>
      <c r="O47" s="224">
        <f ca="1">IF(L47&gt;0,N47*100/L47,0)</f>
        <v>91.310420590081605</v>
      </c>
      <c r="P47" s="224">
        <f ca="1">IF(M47&gt;0,N47*100/M47,0)</f>
        <v>89.001575574013742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IFERROR(__xludf.DUMMYFUNCTION("IMPORTRANGE(""https://docs.google.com/spreadsheets/d/1-uDff_7J0KD5mKrp0Vvzr7lt3OU09vwQwhkpOPPYv2Y/edit?usp=sharing"",""งบพรบ!P24"")"),637200)</f>
        <v>637200</v>
      </c>
      <c r="M49" s="224">
        <f ca="1">IFERROR(__xludf.DUMMYFUNCTION("IMPORTRANGE(""https://docs.google.com/spreadsheets/d/1-uDff_7J0KD5mKrp0Vvzr7lt3OU09vwQwhkpOPPYv2Y/edit?usp=sharing"",""งบพรบ!V24"")"),653730)</f>
        <v>653730</v>
      </c>
      <c r="N49" s="224">
        <f ca="1">IFERROR(__xludf.DUMMYFUNCTION("IMPORTRANGE(""https://docs.google.com/spreadsheets/d/1-uDff_7J0KD5mKrp0Vvzr7lt3OU09vwQwhkpOPPYv2Y/edit?usp=sharing"",""งบพรบ!Y24"")"),581830)</f>
        <v>581830</v>
      </c>
      <c r="O49" s="224">
        <f ca="1">IF(L49&gt;0,N49*100/L49,0)</f>
        <v>91.310420590081605</v>
      </c>
      <c r="P49" s="224">
        <f ca="1">IF(M49&gt;0,N49*100/M49,0)</f>
        <v>89.001575574013742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IFERROR(__xludf.DUMMYFUNCTION("IMPORTRANGE(""https://docs.google.com/spreadsheets/d/1-uDff_7J0KD5mKrp0Vvzr7lt3OU09vwQwhkpOPPYv2Y/edit?usp=sharing"",""งบพรบ!S24"")"),0)</f>
        <v>0</v>
      </c>
      <c r="M52" s="224">
        <f ca="1">IFERROR(__xludf.DUMMYFUNCTION("IMPORTRANGE(""https://docs.google.com/spreadsheets/d/1-uDff_7J0KD5mKrp0Vvzr7lt3OU09vwQwhkpOPPYv2Y/edit?usp=sharing"",""งบพรบ!W24"")"),0)</f>
        <v>0</v>
      </c>
      <c r="N52" s="224">
        <f ca="1">IFERROR(__xludf.DUMMYFUNCTION("IMPORTRANGE(""https://docs.google.com/spreadsheets/d/1-uDff_7J0KD5mKrp0Vvzr7lt3OU09vwQwhkpOPPYv2Y/edit?usp=sharing"",""งบพรบ!Z24"")"),0)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2817200</v>
      </c>
      <c r="M59" s="772">
        <f ca="1">M60+M61</f>
        <v>2817200</v>
      </c>
      <c r="N59" s="772">
        <f ca="1">N60+N61</f>
        <v>2690145.61</v>
      </c>
      <c r="O59" s="772">
        <f ca="1">IF(L59&gt;0,N59*100/L59,0)</f>
        <v>95.490047209995737</v>
      </c>
      <c r="P59" s="772">
        <f ca="1">IF(M59&gt;0,N59*100/M59,0)</f>
        <v>95.490047209995737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2817200</v>
      </c>
      <c r="M61" s="766">
        <f ca="1">M64+M67</f>
        <v>2817200</v>
      </c>
      <c r="N61" s="766">
        <f ca="1">N64+N67</f>
        <v>2690145.61</v>
      </c>
      <c r="O61" s="766">
        <f ca="1">IF(L61&gt;0,N61*100/L61,0)</f>
        <v>95.490047209995737</v>
      </c>
      <c r="P61" s="766">
        <f ca="1">IF(M61&gt;0,N61*100/M61,0)</f>
        <v>95.490047209995737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622200</v>
      </c>
      <c r="M62" s="224">
        <f ca="1">M63+M64</f>
        <v>622200</v>
      </c>
      <c r="N62" s="224">
        <f ca="1">N63+N64</f>
        <v>614005.31999999995</v>
      </c>
      <c r="O62" s="224">
        <f ca="1">IF(L62&gt;0,N62*100/L62,0)</f>
        <v>98.682950819672115</v>
      </c>
      <c r="P62" s="224">
        <f ca="1">IF(M62&gt;0,N62*100/M62,0)</f>
        <v>98.682950819672115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IFERROR(__xludf.DUMMYFUNCTION("IMPORTRANGE(""https://docs.google.com/spreadsheets/d/1-uDff_7J0KD5mKrp0Vvzr7lt3OU09vwQwhkpOPPYv2Y/edit?usp=sharing"",""งบพรบ!AC24"")"),622200)</f>
        <v>622200</v>
      </c>
      <c r="M64" s="224">
        <f ca="1">IFERROR(__xludf.DUMMYFUNCTION("IMPORTRANGE(""https://docs.google.com/spreadsheets/d/1-uDff_7J0KD5mKrp0Vvzr7lt3OU09vwQwhkpOPPYv2Y/edit?usp=sharing"",""งบพรบ!AH24"")"),622200)</f>
        <v>622200</v>
      </c>
      <c r="N64" s="224">
        <f ca="1">IFERROR(__xludf.DUMMYFUNCTION("IMPORTRANGE(""https://docs.google.com/spreadsheets/d/1-uDff_7J0KD5mKrp0Vvzr7lt3OU09vwQwhkpOPPYv2Y/edit?usp=sharing"",""งบพรบ!AJ24"")"),614005.32)</f>
        <v>614005.31999999995</v>
      </c>
      <c r="O64" s="224">
        <f ca="1">IF(L64&gt;0,N64*100/L64,0)</f>
        <v>98.682950819672115</v>
      </c>
      <c r="P64" s="224">
        <f ca="1">IF(M64&gt;0,N64*100/M64,0)</f>
        <v>98.682950819672115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2195000</v>
      </c>
      <c r="M65" s="224">
        <f ca="1">M66+M67</f>
        <v>2195000</v>
      </c>
      <c r="N65" s="224">
        <f ca="1">N66+N67</f>
        <v>2076140.29</v>
      </c>
      <c r="O65" s="224">
        <f ca="1">IF(L65&gt;0,N65*100/L65,0)</f>
        <v>94.584979043280185</v>
      </c>
      <c r="P65" s="224">
        <f ca="1">IF(M65&gt;0,N65*100/M65,0)</f>
        <v>94.584979043280185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IFERROR(__xludf.DUMMYFUNCTION("IMPORTRANGE(""https://docs.google.com/spreadsheets/d/1-uDff_7J0KD5mKrp0Vvzr7lt3OU09vwQwhkpOPPYv2Y/edit?usp=sharing"",""งบพรบ!AF24"")"),2195000)</f>
        <v>2195000</v>
      </c>
      <c r="M67" s="508">
        <f ca="1">IFERROR(__xludf.DUMMYFUNCTION("IMPORTRANGE(""https://docs.google.com/spreadsheets/d/1-uDff_7J0KD5mKrp0Vvzr7lt3OU09vwQwhkpOPPYv2Y/edit?usp=sharing"",""งบพรบ!AI24"")"),2195000)</f>
        <v>2195000</v>
      </c>
      <c r="N67" s="508">
        <f ca="1">IFERROR(__xludf.DUMMYFUNCTION("IMPORTRANGE(""https://docs.google.com/spreadsheets/d/1-uDff_7J0KD5mKrp0Vvzr7lt3OU09vwQwhkpOPPYv2Y/edit?usp=sharing"",""งบพรบ!AK24"")"),2076140.29)</f>
        <v>2076140.29</v>
      </c>
      <c r="O67" s="508">
        <f ca="1">IF(L67&gt;0,N67*100/L67,0)</f>
        <v>94.584979043280185</v>
      </c>
      <c r="P67" s="508">
        <f ca="1">IF(M67&gt;0,N67*100/M67,0)</f>
        <v>94.584979043280185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31</v>
      </c>
      <c r="J71" s="756">
        <f>J83</f>
        <v>31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118400</v>
      </c>
      <c r="O72" s="547">
        <f ca="1">IF(L72&gt;0,N72*100/L72,0)</f>
        <v>83.380281690140848</v>
      </c>
      <c r="P72" s="547">
        <f ca="1">IF(M72&gt;0,N72*100/M72,0)</f>
        <v>83.380281690140848</v>
      </c>
      <c r="Q72" s="547">
        <f ca="1">Q73+Q74</f>
        <v>410120</v>
      </c>
      <c r="R72" s="547">
        <f ca="1">R73+R74</f>
        <v>410120</v>
      </c>
      <c r="S72" s="547">
        <f ca="1">S73+S74</f>
        <v>271533.5</v>
      </c>
      <c r="T72" s="547">
        <f ca="1">IF(Q72&gt;0,S72*100/Q72,0)</f>
        <v>66.208304886374719</v>
      </c>
      <c r="U72" s="547">
        <f ca="1">IF(R72&gt;0,S72*100/R72,0)</f>
        <v>66.208304886374719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118400</v>
      </c>
      <c r="O74" s="224">
        <f ca="1">IF(L74&gt;0,N74*100/L74,0)</f>
        <v>83.380281690140848</v>
      </c>
      <c r="P74" s="224">
        <f ca="1">IF(M74&gt;0,N74*100/M74,0)</f>
        <v>83.380281690140848</v>
      </c>
      <c r="Q74" s="224">
        <f ca="1">Q77+Q80</f>
        <v>410120</v>
      </c>
      <c r="R74" s="224">
        <f ca="1">R77+R80</f>
        <v>410120</v>
      </c>
      <c r="S74" s="224">
        <f ca="1">S77+S80</f>
        <v>271533.5</v>
      </c>
      <c r="T74" s="224">
        <f ca="1">IF(Q74&gt;0,S74*100/Q74,0)</f>
        <v>66.208304886374719</v>
      </c>
      <c r="U74" s="224">
        <f ca="1">IF(R74&gt;0,S74*100/R74,0)</f>
        <v>66.208304886374719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118400</v>
      </c>
      <c r="O75" s="224">
        <f ca="1">IF(L75&gt;0,N75*100/L75,0)</f>
        <v>83.380281690140848</v>
      </c>
      <c r="P75" s="224">
        <f ca="1">IF(M75&gt;0,N75*100/M75,0)</f>
        <v>83.380281690140848</v>
      </c>
      <c r="Q75" s="224">
        <f ca="1">Q76+Q77</f>
        <v>410120</v>
      </c>
      <c r="R75" s="224">
        <f ca="1">R76+R77</f>
        <v>410120</v>
      </c>
      <c r="S75" s="224">
        <f ca="1">S76+S77</f>
        <v>271533.5</v>
      </c>
      <c r="T75" s="224">
        <f ca="1">IF(Q75&gt;0,S75*100/Q75,0)</f>
        <v>66.208304886374719</v>
      </c>
      <c r="U75" s="224">
        <f ca="1">IF(R75&gt;0,S75*100/R75,0)</f>
        <v>66.208304886374719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IFERROR(__xludf.DUMMYFUNCTION("IMPORTRANGE(""https://docs.google.com/spreadsheets/d/1-uDff_7J0KD5mKrp0Vvzr7lt3OU09vwQwhkpOPPYv2Y/edit?usp=sharing"",""งบพรบ!AM24"")"),142000)</f>
        <v>142000</v>
      </c>
      <c r="M77" s="224">
        <f ca="1">IFERROR(__xludf.DUMMYFUNCTION("IMPORTRANGE(""https://docs.google.com/spreadsheets/d/1-uDff_7J0KD5mKrp0Vvzr7lt3OU09vwQwhkpOPPYv2Y/edit?usp=sharing"",""งบพรบ!AR24"")"),142000)</f>
        <v>142000</v>
      </c>
      <c r="N77" s="224">
        <f ca="1">IFERROR(__xludf.DUMMYFUNCTION("IMPORTRANGE(""https://docs.google.com/spreadsheets/d/1-uDff_7J0KD5mKrp0Vvzr7lt3OU09vwQwhkpOPPYv2Y/edit?usp=sharing"",""งบพรบ!AT24"")"),118400)</f>
        <v>118400</v>
      </c>
      <c r="O77" s="224">
        <f ca="1">IF(L77&gt;0,N77*100/L77,0)</f>
        <v>83.380281690140848</v>
      </c>
      <c r="P77" s="224">
        <f ca="1">IF(M77&gt;0,N77*100/M77,0)</f>
        <v>83.380281690140848</v>
      </c>
      <c r="Q77" s="224">
        <f ca="1">IFERROR(__xludf.DUMMYFUNCTION("IMPORTRANGE(""https://docs.google.com/spreadsheets/d/1ItG2mGa2ceCfYo0BwxsXqNm01IGEUdYcSSLTEv9YCik/edit?usp=sharing"",""เบิกจ่ายกองทุน!BH24"")"),410120)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IFERROR(__xludf.DUMMYFUNCTION("IMPORTRANGE(""https://docs.google.com/spreadsheets/d/1ItG2mGa2ceCfYo0BwxsXqNm01IGEUdYcSSLTEv9YCik/edit?usp=sharing"",""เบิกจ่ายกองทุน!BI24"")"),410120)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IFERROR(__xludf.DUMMYFUNCTION("IMPORTRANGE(""https://docs.google.com/spreadsheets/d/1ItG2mGa2ceCfYo0BwxsXqNm01IGEUdYcSSLTEv9YCik/edit?usp=sharing"",""เบิกจ่ายกองทุน!BJ24"")"),271533.5)</f>
        <v>271533.5</v>
      </c>
      <c r="T77" s="224">
        <f ca="1">IF(Q77&gt;0,S77*100/Q77,0)</f>
        <v>66.208304886374719</v>
      </c>
      <c r="U77" s="224">
        <f ca="1">IF(R77&gt;0,S77*100/R77,0)</f>
        <v>66.208304886374719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IFERROR(__xludf.DUMMYFUNCTION("IMPORTRANGE(""https://docs.google.com/spreadsheets/d/1-uDff_7J0KD5mKrp0Vvzr7lt3OU09vwQwhkpOPPYv2Y/edit?usp=sharing"",""งบพรบ!AP24"")"),0)</f>
        <v>0</v>
      </c>
      <c r="M80" s="224">
        <f ca="1">IFERROR(__xludf.DUMMYFUNCTION("IMPORTRANGE(""https://docs.google.com/spreadsheets/d/1-uDff_7J0KD5mKrp0Vvzr7lt3OU09vwQwhkpOPPYv2Y/edit?usp=sharing"",""งบพรบ!AS24"")"),0)</f>
        <v>0</v>
      </c>
      <c r="N80" s="224">
        <f ca="1">IFERROR(__xludf.DUMMYFUNCTION("IMPORTRANGE(""https://docs.google.com/spreadsheets/d/1-uDff_7J0KD5mKrp0Vvzr7lt3OU09vwQwhkpOPPYv2Y/edit?usp=sharing"",""งบพรบ!AU24"")"),0)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IFERROR(__xludf.DUMMYFUNCTION("IMPORTRANGE(""https://docs.google.com/spreadsheets/d/1ItG2mGa2ceCfYo0BwxsXqNm01IGEUdYcSSLTEv9YCik/edit?usp=sharing"",""เบิกจ่ายกองทุน!BK24"")"),0)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IFERROR(__xludf.DUMMYFUNCTION("IMPORTRANGE(""https://docs.google.com/spreadsheets/d/1ItG2mGa2ceCfYo0BwxsXqNm01IGEUdYcSSLTEv9YCik/edit?usp=sharing"",""เบิกจ่ายกองทุน!BL24"")"),0)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IFERROR(__xludf.DUMMYFUNCTION("IMPORTRANGE(""https://docs.google.com/spreadsheets/d/1ItG2mGa2ceCfYo0BwxsXqNm01IGEUdYcSSLTEv9YCik/edit?usp=sharing"",""เบิกจ่ายกองทุน!BM24"")"),0)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31</v>
      </c>
      <c r="J83" s="338">
        <f>J85+J87+J89</f>
        <v>31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IFERROR(__xludf.DUMMYFUNCTION("IMPORTRANGE(""https://docs.google.com/spreadsheets/d/1eHaY18a8A9IcSdp1K8H6x8fbOy06t2VsZHhMHf-1x7Y/edit?usp=sharing"",""แผน!H24"")"),1)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IFERROR(__xludf.DUMMYFUNCTION("IMPORTRANGE(""https://docs.google.com/spreadsheets/d/1eHaY18a8A9IcSdp1K8H6x8fbOy06t2VsZHhMHf-1x7Y/edit?usp=sharing"",""แผน!I24"")"),31)</f>
        <v>31</v>
      </c>
      <c r="J85" s="380">
        <v>31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IFERROR(__xludf.DUMMYFUNCTION("IMPORTRANGE(""https://docs.google.com/spreadsheets/d/1eHaY18a8A9IcSdp1K8H6x8fbOy06t2VsZHhMHf-1x7Y/edit?usp=sharing"",""แผน!F24"")"),0)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IFERROR(__xludf.DUMMYFUNCTION("IMPORTRANGE(""https://docs.google.com/spreadsheets/d/1eHaY18a8A9IcSdp1K8H6x8fbOy06t2VsZHhMHf-1x7Y/edit?usp=sharing"",""แผน!G24"")"),0)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IFERROR(__xludf.DUMMYFUNCTION("IMPORTRANGE(""https://docs.google.com/spreadsheets/d/1eHaY18a8A9IcSdp1K8H6x8fbOy06t2VsZHhMHf-1x7Y/edit?usp=sharing"",""แผน!D24"")"),0)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IFERROR(__xludf.DUMMYFUNCTION("IMPORTRANGE(""https://docs.google.com/spreadsheets/d/1eHaY18a8A9IcSdp1K8H6x8fbOy06t2VsZHhMHf-1x7Y/edit?usp=sharing"",""แผน!E24"")"),0)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IFERROR(__xludf.DUMMYFUNCTION("IMPORTRANGE(""https://docs.google.com/spreadsheets/d/1eHaY18a8A9IcSdp1K8H6x8fbOy06t2VsZHhMHf-1x7Y/edit?usp=sharing"",""แผน!J24"")"),1)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IFERROR(__xludf.DUMMYFUNCTION("IMPORTRANGE(""https://docs.google.com/spreadsheets/d/1-uDff_7J0KD5mKrp0Vvzr7lt3OU09vwQwhkpOPPYv2Y/edit?usp=sharing"",""งบพรบ!AW24"")"),0)</f>
        <v>0</v>
      </c>
      <c r="M99" s="224">
        <f ca="1">IFERROR(__xludf.DUMMYFUNCTION("IMPORTRANGE(""https://docs.google.com/spreadsheets/d/1-uDff_7J0KD5mKrp0Vvzr7lt3OU09vwQwhkpOPPYv2Y/edit?usp=sharing"",""งบพรบ!BB24"")"),0)</f>
        <v>0</v>
      </c>
      <c r="N99" s="224">
        <f ca="1">IFERROR(__xludf.DUMMYFUNCTION("IMPORTRANGE(""https://docs.google.com/spreadsheets/d/1-uDff_7J0KD5mKrp0Vvzr7lt3OU09vwQwhkpOPPYv2Y/edit?usp=sharing"",""งบพรบ!BD24"")"),0)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IFERROR(__xludf.DUMMYFUNCTION("IMPORTRANGE(""https://docs.google.com/spreadsheets/d/1ItG2mGa2ceCfYo0BwxsXqNm01IGEUdYcSSLTEv9YCik/edit?usp=sharing"",""เบิกจ่ายกองทุน!AL24"")"),0)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IFERROR(__xludf.DUMMYFUNCTION("IMPORTRANGE(""https://docs.google.com/spreadsheets/d/1-uDff_7J0KD5mKrp0Vvzr7lt3OU09vwQwhkpOPPYv2Y/edit?usp=sharing"",""งบพรบ!AZ24"")"),0)</f>
        <v>0</v>
      </c>
      <c r="M102" s="224">
        <f ca="1">IFERROR(__xludf.DUMMYFUNCTION("IMPORTRANGE(""https://docs.google.com/spreadsheets/d/1-uDff_7J0KD5mKrp0Vvzr7lt3OU09vwQwhkpOPPYv2Y/edit?usp=sharing"",""งบพรบ!BC24"")"),0)</f>
        <v>0</v>
      </c>
      <c r="N102" s="224">
        <f ca="1">IFERROR(__xludf.DUMMYFUNCTION("IMPORTRANGE(""https://docs.google.com/spreadsheets/d/1-uDff_7J0KD5mKrp0Vvzr7lt3OU09vwQwhkpOPPYv2Y/edit?usp=sharing"",""งบพรบ!BE24"")"),0)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IFERROR(__xludf.DUMMYFUNCTION("IMPORTRANGE(""https://docs.google.com/spreadsheets/d/1eHaY18a8A9IcSdp1K8H6x8fbOy06t2VsZHhMHf-1x7Y/edit?usp=sharing"",""แผน!N24"")"),0)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IFERROR(__xludf.DUMMYFUNCTION("IMPORTRANGE(""https://docs.google.com/spreadsheets/d/1eHaY18a8A9IcSdp1K8H6x8fbOy06t2VsZHhMHf-1x7Y/edit?usp=sharing"",""แผน!O24"")"),0)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IFERROR(__xludf.DUMMYFUNCTION("IMPORTRANGE(""https://docs.google.com/spreadsheets/d/1eHaY18a8A9IcSdp1K8H6x8fbOy06t2VsZHhMHf-1x7Y/edit?usp=sharing"",""แผน!R24"")"),0)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30</v>
      </c>
      <c r="J116" s="756">
        <f>J127</f>
        <v>30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247020</v>
      </c>
      <c r="R117" s="547">
        <f ca="1">R118+R119</f>
        <v>247020</v>
      </c>
      <c r="S117" s="547">
        <f ca="1">S118+S119</f>
        <v>145275</v>
      </c>
      <c r="T117" s="547">
        <f ca="1">IF(Q117&gt;0,S117*100/Q117,0)</f>
        <v>58.811027447170268</v>
      </c>
      <c r="U117" s="547">
        <f ca="1">IF(R117&gt;0,S117*100/R117,0)</f>
        <v>58.811027447170268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247020</v>
      </c>
      <c r="R119" s="224">
        <f ca="1">R122+R125</f>
        <v>247020</v>
      </c>
      <c r="S119" s="224">
        <f ca="1">S122+S125</f>
        <v>145275</v>
      </c>
      <c r="T119" s="224">
        <f ca="1">IF(Q119&gt;0,S119*100/Q119,0)</f>
        <v>58.811027447170268</v>
      </c>
      <c r="U119" s="224">
        <f ca="1">IF(R119&gt;0,S119*100/R119,0)</f>
        <v>58.811027447170268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247020</v>
      </c>
      <c r="R120" s="224">
        <f ca="1">R121+R122</f>
        <v>247020</v>
      </c>
      <c r="S120" s="224">
        <f ca="1">S121+S122</f>
        <v>145275</v>
      </c>
      <c r="T120" s="224">
        <f ca="1">IF(Q120&gt;0,S120*100/Q120,0)</f>
        <v>58.811027447170268</v>
      </c>
      <c r="U120" s="224">
        <f ca="1">IF(R120&gt;0,S120*100/R120,0)</f>
        <v>58.811027447170268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IFERROR(__xludf.DUMMYFUNCTION("IMPORTRANGE(""https://docs.google.com/spreadsheets/d/1-uDff_7J0KD5mKrp0Vvzr7lt3OU09vwQwhkpOPPYv2Y/edit?usp=sharing"",""งบพรบ!BG24"")"),0)</f>
        <v>0</v>
      </c>
      <c r="M122" s="224">
        <f ca="1">IFERROR(__xludf.DUMMYFUNCTION("IMPORTRANGE(""https://docs.google.com/spreadsheets/d/1-uDff_7J0KD5mKrp0Vvzr7lt3OU09vwQwhkpOPPYv2Y/edit?usp=sharing"",""งบพรบ!BL24"")"),0)</f>
        <v>0</v>
      </c>
      <c r="N122" s="224">
        <f ca="1">IFERROR(__xludf.DUMMYFUNCTION("IMPORTRANGE(""https://docs.google.com/spreadsheets/d/1-uDff_7J0KD5mKrp0Vvzr7lt3OU09vwQwhkpOPPYv2Y/edit?usp=sharing"",""งบพรบ!BN24"")"),0)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IFERROR(__xludf.DUMMYFUNCTION("IMPORTRANGE(""https://docs.google.com/spreadsheets/d/1ItG2mGa2ceCfYo0BwxsXqNm01IGEUdYcSSLTEv9YCik/edit?usp=sharing"",""เบิกจ่ายกองทุน!U24"")"),247020)</f>
        <v>247020</v>
      </c>
      <c r="R122" s="224">
        <f ca="1">IFERROR(__xludf.DUMMYFUNCTION("IMPORTRANGE(""https://docs.google.com/spreadsheets/d/1ItG2mGa2ceCfYo0BwxsXqNm01IGEUdYcSSLTEv9YCik/edit?usp=sharing"",""เบิกจ่ายกองทุน!V24"")"),247020)</f>
        <v>247020</v>
      </c>
      <c r="S122" s="224">
        <f ca="1">IFERROR(__xludf.DUMMYFUNCTION("IMPORTRANGE(""https://docs.google.com/spreadsheets/d/1ItG2mGa2ceCfYo0BwxsXqNm01IGEUdYcSSLTEv9YCik/edit?usp=sharing"",""เบิกจ่ายกองทุน!W24"")"),145275)</f>
        <v>145275</v>
      </c>
      <c r="T122" s="224">
        <f ca="1">IF(Q122&gt;0,S122*100/Q122,0)</f>
        <v>58.811027447170268</v>
      </c>
      <c r="U122" s="224">
        <f ca="1">IF(R122&gt;0,S122*100/R122,0)</f>
        <v>58.811027447170268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IFERROR(__xludf.DUMMYFUNCTION("IMPORTRANGE(""https://docs.google.com/spreadsheets/d/1-uDff_7J0KD5mKrp0Vvzr7lt3OU09vwQwhkpOPPYv2Y/edit?usp=sharing"",""งบพรบ!BJ24"")"),0)</f>
        <v>0</v>
      </c>
      <c r="M125" s="224">
        <f ca="1">IFERROR(__xludf.DUMMYFUNCTION("IMPORTRANGE(""https://docs.google.com/spreadsheets/d/1-uDff_7J0KD5mKrp0Vvzr7lt3OU09vwQwhkpOPPYv2Y/edit?usp=sharing"",""งบพรบ!BM24"")"),0)</f>
        <v>0</v>
      </c>
      <c r="N125" s="224">
        <f ca="1">IFERROR(__xludf.DUMMYFUNCTION("IMPORTRANGE(""https://docs.google.com/spreadsheets/d/1-uDff_7J0KD5mKrp0Vvzr7lt3OU09vwQwhkpOPPYv2Y/edit?usp=sharing"",""งบพรบ!BO24"")"),0)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IFERROR(__xludf.DUMMYFUNCTION("IMPORTRANGE(""https://docs.google.com/spreadsheets/d/1ItG2mGa2ceCfYo0BwxsXqNm01IGEUdYcSSLTEv9YCik/edit?usp=sharing"",""เบิกจ่ายกองทุน!X24"")"),0)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IFERROR(__xludf.DUMMYFUNCTION("IMPORTRANGE(""https://docs.google.com/spreadsheets/d/1ItG2mGa2ceCfYo0BwxsXqNm01IGEUdYcSSLTEv9YCik/edit?usp=sharing"",""เบิกจ่ายกองทุน!Y24"")"),0)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IFERROR(__xludf.DUMMYFUNCTION("IMPORTRANGE(""https://docs.google.com/spreadsheets/d/1ItG2mGa2ceCfYo0BwxsXqNm01IGEUdYcSSLTEv9YCik/edit?usp=sharing"",""เบิกจ่ายกองทุน!Z24"")"),0)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IFERROR(__xludf.DUMMYFUNCTION("IMPORTRANGE(""https://docs.google.com/spreadsheets/d/1eHaY18a8A9IcSdp1K8H6x8fbOy06t2VsZHhMHf-1x7Y/edit?usp=sharing"",""แผน!FF24"")"),30)</f>
        <v>30</v>
      </c>
      <c r="J127" s="380">
        <v>30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IFERROR(__xludf.DUMMYFUNCTION("IMPORTRANGE(""https://docs.google.com/spreadsheets/d/1eHaY18a8A9IcSdp1K8H6x8fbOy06t2VsZHhMHf-1x7Y/edit?usp=sharing"",""แผน!FG24"")"),2)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IFERROR(__xludf.DUMMYFUNCTION("IMPORTRANGE(""https://docs.google.com/spreadsheets/d/1eHaY18a8A9IcSdp1K8H6x8fbOy06t2VsZHhMHf-1x7Y/edit?usp=sharing"",""แผน!FH24"")"),30)</f>
        <v>30</v>
      </c>
      <c r="J129" s="380">
        <v>30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IFERROR(__xludf.DUMMYFUNCTION("IMPORTRANGE(""https://docs.google.com/spreadsheets/d/1eHaY18a8A9IcSdp1K8H6x8fbOy06t2VsZHhMHf-1x7Y/edit?usp=sharing"",""แผน!FI24"")"),2)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60</v>
      </c>
      <c r="J137" s="756">
        <f>J152</f>
        <v>60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6</v>
      </c>
      <c r="J138" s="756">
        <f>J153</f>
        <v>6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164700</v>
      </c>
      <c r="M139" s="547">
        <f ca="1">M140+M141</f>
        <v>159700</v>
      </c>
      <c r="N139" s="547">
        <f ca="1">N140+N141</f>
        <v>155707.04</v>
      </c>
      <c r="O139" s="547">
        <f ca="1">IF(L139&gt;0,N139*100/L139,0)</f>
        <v>94.539793564055856</v>
      </c>
      <c r="P139" s="547">
        <f ca="1">IF(M139&gt;0,N139*100/M139,0)</f>
        <v>97.499711959924852</v>
      </c>
      <c r="Q139" s="547">
        <f ca="1">Q140+Q141</f>
        <v>178860</v>
      </c>
      <c r="R139" s="547">
        <f ca="1">R140+R141</f>
        <v>178860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164700</v>
      </c>
      <c r="M141" s="224">
        <f ca="1">M144+M147</f>
        <v>159700</v>
      </c>
      <c r="N141" s="224">
        <f ca="1">N144+N147</f>
        <v>155707.04</v>
      </c>
      <c r="O141" s="224">
        <f ca="1">IF(L141&gt;0,N141*100/L141,0)</f>
        <v>94.539793564055856</v>
      </c>
      <c r="P141" s="224">
        <f ca="1">IF(M141&gt;0,N141*100/M141,0)</f>
        <v>97.499711959924852</v>
      </c>
      <c r="Q141" s="224">
        <f ca="1">Q144+Q147</f>
        <v>178860</v>
      </c>
      <c r="R141" s="224">
        <f ca="1">R144+R147</f>
        <v>178860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164700</v>
      </c>
      <c r="M142" s="224">
        <f ca="1">M143+M144</f>
        <v>159700</v>
      </c>
      <c r="N142" s="224">
        <f ca="1">N143+N144</f>
        <v>155707.04</v>
      </c>
      <c r="O142" s="224">
        <f ca="1">IF(L142&gt;0,N142*100/L142,0)</f>
        <v>94.539793564055856</v>
      </c>
      <c r="P142" s="224">
        <f ca="1">IF(M142&gt;0,N142*100/M142,0)</f>
        <v>97.499711959924852</v>
      </c>
      <c r="Q142" s="224">
        <f ca="1">Q143+Q144</f>
        <v>48860</v>
      </c>
      <c r="R142" s="224">
        <f ca="1">R143+R144</f>
        <v>48860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IFERROR(__xludf.DUMMYFUNCTION("IMPORTRANGE(""https://docs.google.com/spreadsheets/d/1-uDff_7J0KD5mKrp0Vvzr7lt3OU09vwQwhkpOPPYv2Y/edit?usp=sharing"",""งบพรบ!BQ24"")"),164700)</f>
        <v>164700</v>
      </c>
      <c r="M144" s="224">
        <f ca="1">IFERROR(__xludf.DUMMYFUNCTION("IMPORTRANGE(""https://docs.google.com/spreadsheets/d/1-uDff_7J0KD5mKrp0Vvzr7lt3OU09vwQwhkpOPPYv2Y/edit?usp=sharing"",""งบพรบ!BV24"")"),159700)</f>
        <v>159700</v>
      </c>
      <c r="N144" s="224">
        <f ca="1">IFERROR(__xludf.DUMMYFUNCTION("IMPORTRANGE(""https://docs.google.com/spreadsheets/d/1-uDff_7J0KD5mKrp0Vvzr7lt3OU09vwQwhkpOPPYv2Y/edit?usp=sharing"",""งบพรบ!BX24"")"),155707.04)</f>
        <v>155707.04</v>
      </c>
      <c r="O144" s="224">
        <f ca="1">IF(L144&gt;0,N144*100/L144,0)</f>
        <v>94.539793564055856</v>
      </c>
      <c r="P144" s="224">
        <f ca="1">IF(M144&gt;0,N144*100/M144,0)</f>
        <v>97.499711959924852</v>
      </c>
      <c r="Q144" s="224">
        <f ca="1">IFERROR(__xludf.DUMMYFUNCTION("IMPORTRANGE(""https://docs.google.com/spreadsheets/d/1ItG2mGa2ceCfYo0BwxsXqNm01IGEUdYcSSLTEv9YCik/edit?usp=sharing"",""เบิกจ่ายกองทุน!CF24"")"),48860)</f>
        <v>48860</v>
      </c>
      <c r="R144" s="224">
        <f ca="1">IFERROR(__xludf.DUMMYFUNCTION("IMPORTRANGE(""https://docs.google.com/spreadsheets/d/1ItG2mGa2ceCfYo0BwxsXqNm01IGEUdYcSSLTEv9YCik/edit?usp=sharing"",""เบิกจ่ายกองทุน!CG24"")"),48860)</f>
        <v>48860</v>
      </c>
      <c r="S144" s="224">
        <f ca="1">IFERROR(__xludf.DUMMYFUNCTION("IMPORTRANGE(""https://docs.google.com/spreadsheets/d/1ItG2mGa2ceCfYo0BwxsXqNm01IGEUdYcSSLTEv9YCik/edit?usp=sharing"",""เบิกจ่ายกองทุน!CH24"")"),0)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IFERROR(__xludf.DUMMYFUNCTION("IMPORTRANGE(""https://docs.google.com/spreadsheets/d/1-uDff_7J0KD5mKrp0Vvzr7lt3OU09vwQwhkpOPPYv2Y/edit?usp=sharing"",""งบพรบ!BT24"")"),0)</f>
        <v>0</v>
      </c>
      <c r="M147" s="224">
        <f ca="1">IFERROR(__xludf.DUMMYFUNCTION("IMPORTRANGE(""https://docs.google.com/spreadsheets/d/1-uDff_7J0KD5mKrp0Vvzr7lt3OU09vwQwhkpOPPYv2Y/edit?usp=sharing"",""งบพรบ!BW24"")"),0)</f>
        <v>0</v>
      </c>
      <c r="N147" s="224">
        <f ca="1">IFERROR(__xludf.DUMMYFUNCTION("IMPORTRANGE(""https://docs.google.com/spreadsheets/d/1-uDff_7J0KD5mKrp0Vvzr7lt3OU09vwQwhkpOPPYv2Y/edit?usp=sharing"",""งบพรบ!BY24"")"),0)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IFERROR(__xludf.DUMMYFUNCTION("IMPORTRANGE(""https://docs.google.com/spreadsheets/d/1ItG2mGa2ceCfYo0BwxsXqNm01IGEUdYcSSLTEv9YCik/edit?usp=sharing"",""เบิกจ่ายกองทุน!CI24"")"),130000)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IFERROR(__xludf.DUMMYFUNCTION("IMPORTRANGE(""https://docs.google.com/spreadsheets/d/1ItG2mGa2ceCfYo0BwxsXqNm01IGEUdYcSSLTEv9YCik/edit?usp=sharing"",""เบิกจ่ายกองทุน!CJ24"")"),130000)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IFERROR(__xludf.DUMMYFUNCTION("IMPORTRANGE(""https://docs.google.com/spreadsheets/d/1ItG2mGa2ceCfYo0BwxsXqNm01IGEUdYcSSLTEv9YCik/edit?usp=sharing"",""เบิกจ่ายกองทุน!CK24"")"),0)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IFERROR(__xludf.DUMMYFUNCTION("IMPORTRANGE(""https://docs.google.com/spreadsheets/d/1eHaY18a8A9IcSdp1K8H6x8fbOy06t2VsZHhMHf-1x7Y/edit?usp=sharing"",""แผน!U24"")"),10)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IFERROR(__xludf.DUMMYFUNCTION("IMPORTRANGE(""https://docs.google.com/spreadsheets/d/1eHaY18a8A9IcSdp1K8H6x8fbOy06t2VsZHhMHf-1x7Y/edit?usp=sharing"",""แผน!V24"")"),1)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IFERROR(__xludf.DUMMYFUNCTION("IMPORTRANGE(""https://docs.google.com/spreadsheets/d/1eHaY18a8A9IcSdp1K8H6x8fbOy06t2VsZHhMHf-1x7Y/edit?usp=sharing"",""แผน!W24"")"),60)</f>
        <v>60</v>
      </c>
      <c r="J152" s="380">
        <v>60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IFERROR(__xludf.DUMMYFUNCTION("IMPORTRANGE(""https://docs.google.com/spreadsheets/d/1eHaY18a8A9IcSdp1K8H6x8fbOy06t2VsZHhMHf-1x7Y/edit?usp=sharing"",""แผน!X24"")"),6)</f>
        <v>6</v>
      </c>
      <c r="J153" s="380">
        <v>6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IFERROR(__xludf.DUMMYFUNCTION("IMPORTRANGE(""https://docs.google.com/spreadsheets/d/1eHaY18a8A9IcSdp1K8H6x8fbOy06t2VsZHhMHf-1x7Y/edit?usp=sharing"",""แผน!Y24"")"),1)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1360</v>
      </c>
      <c r="N157" s="547">
        <f ca="1">N158+N159</f>
        <v>1360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1360</v>
      </c>
      <c r="N159" s="224">
        <f ca="1">N162+N165</f>
        <v>1360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1360</v>
      </c>
      <c r="N160" s="224">
        <f ca="1">N161+N162</f>
        <v>1360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IFERROR(__xludf.DUMMYFUNCTION("IMPORTRANGE(""https://docs.google.com/spreadsheets/d/1-uDff_7J0KD5mKrp0Vvzr7lt3OU09vwQwhkpOPPYv2Y/edit?usp=sharing"",""งบพรบ!CA24"")"),0)</f>
        <v>0</v>
      </c>
      <c r="M162" s="224">
        <f ca="1">IFERROR(__xludf.DUMMYFUNCTION("IMPORTRANGE(""https://docs.google.com/spreadsheets/d/1-uDff_7J0KD5mKrp0Vvzr7lt3OU09vwQwhkpOPPYv2Y/edit?usp=sharing"",""งบพรบ!CF24"")"),1360)</f>
        <v>1360</v>
      </c>
      <c r="N162" s="224">
        <f ca="1">IFERROR(__xludf.DUMMYFUNCTION("IMPORTRANGE(""https://docs.google.com/spreadsheets/d/1-uDff_7J0KD5mKrp0Vvzr7lt3OU09vwQwhkpOPPYv2Y/edit?usp=sharing"",""งบพรบ!CH24"")"),1360)</f>
        <v>1360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IFERROR(__xludf.DUMMYFUNCTION("IMPORTRANGE(""https://docs.google.com/spreadsheets/d/1ItG2mGa2ceCfYo0BwxsXqNm01IGEUdYcSSLTEv9YCik/edit?usp=sharing"",""เบิกจ่ายกองทุน!AO24"")"),0)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IFERROR(__xludf.DUMMYFUNCTION("IMPORTRANGE(""https://docs.google.com/spreadsheets/d/1-uDff_7J0KD5mKrp0Vvzr7lt3OU09vwQwhkpOPPYv2Y/edit?usp=sharing"",""งบพรบ!CD24"")"),0)</f>
        <v>0</v>
      </c>
      <c r="M165" s="224">
        <f ca="1">IFERROR(__xludf.DUMMYFUNCTION("IMPORTRANGE(""https://docs.google.com/spreadsheets/d/1-uDff_7J0KD5mKrp0Vvzr7lt3OU09vwQwhkpOPPYv2Y/edit?usp=sharing"",""งบพรบ!CG24"")"),0)</f>
        <v>0</v>
      </c>
      <c r="N165" s="224">
        <f ca="1">IFERROR(__xludf.DUMMYFUNCTION("IMPORTRANGE(""https://docs.google.com/spreadsheets/d/1-uDff_7J0KD5mKrp0Vvzr7lt3OU09vwQwhkpOPPYv2Y/edit?usp=sharing"",""งบพรบ!CI24"")"),0)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IFERROR(__xludf.DUMMYFUNCTION("IMPORTRANGE(""https://docs.google.com/spreadsheets/d/1eHaY18a8A9IcSdp1K8H6x8fbOy06t2VsZHhMHf-1x7Y/edit?usp=sharing"",""แผน!Z24"")"),0)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IFERROR(__xludf.DUMMYFUNCTION("IMPORTRANGE(""https://docs.google.com/spreadsheets/d/1eHaY18a8A9IcSdp1K8H6x8fbOy06t2VsZHhMHf-1x7Y/edit?usp=sharing"",""แผน!Z24"")"),0)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IFERROR(__xludf.DUMMYFUNCTION("IMPORTRANGE(""https://docs.google.com/spreadsheets/d/1eHaY18a8A9IcSdp1K8H6x8fbOy06t2VsZHhMHf-1x7Y/edit?usp=sharing"",""แผน!Z24"")"),0)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127740</v>
      </c>
      <c r="N173" s="547">
        <f ca="1">N174+N175</f>
        <v>126600</v>
      </c>
      <c r="O173" s="547">
        <f ca="1">IF(L173&gt;0,N173*100/L173,0)</f>
        <v>646.24808575803979</v>
      </c>
      <c r="P173" s="547">
        <f ca="1">IF(M173&gt;0,N173*100/M173,0)</f>
        <v>99.107562235791448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127740</v>
      </c>
      <c r="N175" s="224">
        <f ca="1">N178+N181</f>
        <v>126600</v>
      </c>
      <c r="O175" s="224">
        <f ca="1">IF(L175&gt;0,N175*100/L175,0)</f>
        <v>646.24808575803979</v>
      </c>
      <c r="P175" s="224">
        <f ca="1">IF(M175&gt;0,N175*100/M175,0)</f>
        <v>99.107562235791448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127740</v>
      </c>
      <c r="N176" s="224">
        <f ca="1">N177+N178</f>
        <v>126600</v>
      </c>
      <c r="O176" s="224">
        <f ca="1">IF(L176&gt;0,N176*100/L176,0)</f>
        <v>646.24808575803979</v>
      </c>
      <c r="P176" s="224">
        <f ca="1">IF(M176&gt;0,N176*100/M176,0)</f>
        <v>99.107562235791448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IFERROR(__xludf.DUMMYFUNCTION("IMPORTRANGE(""https://docs.google.com/spreadsheets/d/1-uDff_7J0KD5mKrp0Vvzr7lt3OU09vwQwhkpOPPYv2Y/edit?usp=sharing"",""งบพรบ!CK24"")"),19590)</f>
        <v>19590</v>
      </c>
      <c r="M178" s="224">
        <f ca="1">IFERROR(__xludf.DUMMYFUNCTION("IMPORTRANGE(""https://docs.google.com/spreadsheets/d/1-uDff_7J0KD5mKrp0Vvzr7lt3OU09vwQwhkpOPPYv2Y/edit?usp=sharing"",""งบพรบ!CP24"")"),127740)</f>
        <v>127740</v>
      </c>
      <c r="N178" s="224">
        <f ca="1">IFERROR(__xludf.DUMMYFUNCTION("IMPORTRANGE(""https://docs.google.com/spreadsheets/d/1-uDff_7J0KD5mKrp0Vvzr7lt3OU09vwQwhkpOPPYv2Y/edit?usp=sharing"",""งบพรบ!CR24"")"),126600)</f>
        <v>126600</v>
      </c>
      <c r="O178" s="224">
        <f ca="1">IF(L178&gt;0,N178*100/L178,0)</f>
        <v>646.24808575803979</v>
      </c>
      <c r="P178" s="224">
        <f ca="1">IF(M178&gt;0,N178*100/M178,0)</f>
        <v>99.107562235791448</v>
      </c>
      <c r="Q178" s="224">
        <f ca="1">IFERROR(__xludf.DUMMYFUNCTION("IMPORTRANGE(""https://docs.google.com/spreadsheets/d/1ItG2mGa2ceCfYo0BwxsXqNm01IGEUdYcSSLTEv9YCik/edit?usp=sharing"",""เบิกจ่ายกองทุน!DG24"")"),0)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IFERROR(__xludf.DUMMYFUNCTION("IMPORTRANGE(""https://docs.google.com/spreadsheets/d/1ItG2mGa2ceCfYo0BwxsXqNm01IGEUdYcSSLTEv9YCik/edit?usp=sharing"",""เบิกจ่ายกองทุน!DI24"")"),0)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IFERROR(__xludf.DUMMYFUNCTION("IMPORTRANGE(""https://docs.google.com/spreadsheets/d/1-uDff_7J0KD5mKrp0Vvzr7lt3OU09vwQwhkpOPPYv2Y/edit?usp=sharing"",""งบพรบ!CN24"")"),0)</f>
        <v>0</v>
      </c>
      <c r="M181" s="224">
        <f ca="1">IFERROR(__xludf.DUMMYFUNCTION("IMPORTRANGE(""https://docs.google.com/spreadsheets/d/1-uDff_7J0KD5mKrp0Vvzr7lt3OU09vwQwhkpOPPYv2Y/edit?usp=sharing"",""งบพรบ!CQ24"")"),0)</f>
        <v>0</v>
      </c>
      <c r="N181" s="224">
        <f ca="1">IFERROR(__xludf.DUMMYFUNCTION("IMPORTRANGE(""https://docs.google.com/spreadsheets/d/1-uDff_7J0KD5mKrp0Vvzr7lt3OU09vwQwhkpOPPYv2Y/edit?usp=sharing"",""งบพรบ!CS24"")"),0)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IFERROR(__xludf.DUMMYFUNCTION("IMPORTRANGE(""https://docs.google.com/spreadsheets/d/1eHaY18a8A9IcSdp1K8H6x8fbOy06t2VsZHhMHf-1x7Y/edit?usp=sharing"",""แผน!AA24"")"),7)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131500</v>
      </c>
      <c r="N186" s="547">
        <f ca="1">N187+N188</f>
        <v>113014</v>
      </c>
      <c r="O186" s="547">
        <f ca="1">IF(L186&gt;0,N186*100/L186,0)</f>
        <v>87.26949806949807</v>
      </c>
      <c r="P186" s="547">
        <f ca="1">IF(M186&gt;0,N186*100/M186,0)</f>
        <v>85.942205323193917</v>
      </c>
      <c r="Q186" s="547">
        <f ca="1">Q187+Q188</f>
        <v>42000</v>
      </c>
      <c r="R186" s="547">
        <f ca="1">R187+R188</f>
        <v>42000</v>
      </c>
      <c r="S186" s="547">
        <f ca="1">S187+S188</f>
        <v>0</v>
      </c>
      <c r="T186" s="547">
        <f ca="1">IF(Q186&gt;0,S186*100/Q186,0)</f>
        <v>0</v>
      </c>
      <c r="U186" s="547">
        <f ca="1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131500</v>
      </c>
      <c r="N188" s="224">
        <f ca="1">N191+N194</f>
        <v>113014</v>
      </c>
      <c r="O188" s="224">
        <f ca="1">IF(L188&gt;0,N188*100/L188,0)</f>
        <v>87.26949806949807</v>
      </c>
      <c r="P188" s="224">
        <f ca="1">IF(M188&gt;0,N188*100/M188,0)</f>
        <v>85.942205323193917</v>
      </c>
      <c r="Q188" s="224">
        <f ca="1">Q191+Q194</f>
        <v>42000</v>
      </c>
      <c r="R188" s="224">
        <f ca="1">R191+R194</f>
        <v>42000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131500</v>
      </c>
      <c r="N189" s="224">
        <f ca="1">N190+N191</f>
        <v>113014</v>
      </c>
      <c r="O189" s="224">
        <f ca="1">IF(L189&gt;0,N189*100/L189,0)</f>
        <v>87.26949806949807</v>
      </c>
      <c r="P189" s="224">
        <f ca="1">IF(M189&gt;0,N189*100/M189,0)</f>
        <v>85.942205323193917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IFERROR(__xludf.DUMMYFUNCTION("IMPORTRANGE(""https://docs.google.com/spreadsheets/d/1-uDff_7J0KD5mKrp0Vvzr7lt3OU09vwQwhkpOPPYv2Y/edit?usp=sharing"",""งบพรบ!CU24"")"),129500)</f>
        <v>129500</v>
      </c>
      <c r="M191" s="224">
        <f ca="1">IFERROR(__xludf.DUMMYFUNCTION("IMPORTRANGE(""https://docs.google.com/spreadsheets/d/1-uDff_7J0KD5mKrp0Vvzr7lt3OU09vwQwhkpOPPYv2Y/edit?usp=sharing"",""งบพรบ!CZ24"")"),131500)</f>
        <v>131500</v>
      </c>
      <c r="N191" s="224">
        <f ca="1">IFERROR(__xludf.DUMMYFUNCTION("IMPORTRANGE(""https://docs.google.com/spreadsheets/d/1-uDff_7J0KD5mKrp0Vvzr7lt3OU09vwQwhkpOPPYv2Y/edit?usp=sharing"",""งบพรบ!DB24"")"),113014)</f>
        <v>113014</v>
      </c>
      <c r="O191" s="224">
        <f ca="1">IF(L191&gt;0,N191*100/L191,0)</f>
        <v>87.26949806949807</v>
      </c>
      <c r="P191" s="224">
        <f ca="1">IF(M191&gt;0,N191*100/M191,0)</f>
        <v>85.942205323193917</v>
      </c>
      <c r="Q191" s="224">
        <f ca="1">IFERROR(__xludf.DUMMYFUNCTION("IMPORTRANGE(""https://docs.google.com/spreadsheets/d/1ItG2mGa2ceCfYo0BwxsXqNm01IGEUdYcSSLTEv9YCik/edit?usp=sharing"",""เบิกจ่ายกองทุน!BQ24"")"),42000)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IFERROR(__xludf.DUMMYFUNCTION("IMPORTRANGE(""https://docs.google.com/spreadsheets/d/1ItG2mGa2ceCfYo0BwxsXqNm01IGEUdYcSSLTEv9YCik/edit?usp=sharing"",""เบิกจ่ายกองทุน!BR24"")"),42000)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IFERROR(__xludf.DUMMYFUNCTION("IMPORTRANGE(""https://docs.google.com/spreadsheets/d/1ItG2mGa2ceCfYo0BwxsXqNm01IGEUdYcSSLTEv9YCik/edit?usp=sharing"",""เบิกจ่ายกองทุน!BS24"")"),0)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IFERROR(__xludf.DUMMYFUNCTION("IMPORTRANGE(""https://docs.google.com/spreadsheets/d/1-uDff_7J0KD5mKrp0Vvzr7lt3OU09vwQwhkpOPPYv2Y/edit?usp=sharing"",""งบพรบ!CX24"")"),0)</f>
        <v>0</v>
      </c>
      <c r="M194" s="224">
        <f ca="1">IFERROR(__xludf.DUMMYFUNCTION("IMPORTRANGE(""https://docs.google.com/spreadsheets/d/1-uDff_7J0KD5mKrp0Vvzr7lt3OU09vwQwhkpOPPYv2Y/edit?usp=sharing"",""งบพรบ!DA24"")"),0)</f>
        <v>0</v>
      </c>
      <c r="N194" s="224">
        <f ca="1">IFERROR(__xludf.DUMMYFUNCTION("IMPORTRANGE(""https://docs.google.com/spreadsheets/d/1-uDff_7J0KD5mKrp0Vvzr7lt3OU09vwQwhkpOPPYv2Y/edit?usp=sharing"",""งบพรบ!DC24"")"),0)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IFERROR(__xludf.DUMMYFUNCTION("IMPORTRANGE(""https://docs.google.com/spreadsheets/d/1ItG2mGa2ceCfYo0BwxsXqNm01IGEUdYcSSLTEv9YCik/edit?usp=sharing"",""เบิกจ่ายกองทุน!BT24"")"),0)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IFERROR(__xludf.DUMMYFUNCTION("IMPORTRANGE(""https://docs.google.com/spreadsheets/d/1ItG2mGa2ceCfYo0BwxsXqNm01IGEUdYcSSLTEv9YCik/edit?usp=sharing"",""เบิกจ่ายกองทุน!BU24"")"),0)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IFERROR(__xludf.DUMMYFUNCTION("IMPORTRANGE(""https://docs.google.com/spreadsheets/d/1ItG2mGa2ceCfYo0BwxsXqNm01IGEUdYcSSLTEv9YCik/edit?usp=sharing"",""เบิกจ่ายกองทุน!BV24"")"),0)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IFERROR(__xludf.DUMMYFUNCTION("IMPORTRANGE(""https://docs.google.com/spreadsheets/d/1eHaY18a8A9IcSdp1K8H6x8fbOy06t2VsZHhMHf-1x7Y/edit?usp=sharing"",""แผน!AB24"")"),6000)</f>
        <v>6000</v>
      </c>
      <c r="M196" s="45"/>
      <c r="N196" s="749">
        <v>2955</v>
      </c>
      <c r="O196" s="547">
        <f ca="1">IF(L196&gt;0,N196*100/L196,0)</f>
        <v>49.25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IFERROR(__xludf.DUMMYFUNCTION("IMPORTRANGE(""https://docs.google.com/spreadsheets/d/1eHaY18a8A9IcSdp1K8H6x8fbOy06t2VsZHhMHf-1x7Y/edit?usp=sharing"",""แผน!AE24"")"),4)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70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70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2</v>
      </c>
      <c r="K202" s="303">
        <f ca="1">IF(I202&gt;0,J202*100/I202,0)</f>
        <v>66.666666666666671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14400</v>
      </c>
      <c r="O203" s="547">
        <f ca="1">IF(L203&gt;0,N203*100/L203,0)</f>
        <v>72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IFERROR(__xludf.DUMMYFUNCTION("IMPORTRANGE(""https://docs.google.com/spreadsheets/d/1eHaY18a8A9IcSdp1K8H6x8fbOy06t2VsZHhMHf-1x7Y/edit?usp=sharing"",""แผน!AG24"")"),3000)</f>
        <v>3000</v>
      </c>
      <c r="M204" s="45"/>
      <c r="N204" s="737">
        <v>1400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IFERROR(__xludf.DUMMYFUNCTION("IMPORTRANGE(""https://docs.google.com/spreadsheets/d/1eHaY18a8A9IcSdp1K8H6x8fbOy06t2VsZHhMHf-1x7Y/edit?usp=sharing"",""แผน!AH24"")"),0)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IFERROR(__xludf.DUMMYFUNCTION("IMPORTRANGE(""https://docs.google.com/spreadsheets/d/1eHaY18a8A9IcSdp1K8H6x8fbOy06t2VsZHhMHf-1x7Y/edit?usp=sharing"",""แผน!AI24"")"),0)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IFERROR(__xludf.DUMMYFUNCTION("IMPORTRANGE(""https://docs.google.com/spreadsheets/d/1eHaY18a8A9IcSdp1K8H6x8fbOy06t2VsZHhMHf-1x7Y/edit?usp=sharing"",""แผน!LV24"")"),42000)</f>
        <v>42000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IFERROR(__xludf.DUMMYFUNCTION("IMPORTRANGE(""https://docs.google.com/spreadsheets/d/1eHaY18a8A9IcSdp1K8H6x8fbOy06t2VsZHhMHf-1x7Y/edit?usp=sharing"",""แผน!AJ24"")"),17000)</f>
        <v>17000</v>
      </c>
      <c r="M207" s="45"/>
      <c r="N207" s="737">
        <v>13000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IFERROR(__xludf.DUMMYFUNCTION("IMPORTRANGE(""https://docs.google.com/spreadsheets/d/1eHaY18a8A9IcSdp1K8H6x8fbOy06t2VsZHhMHf-1x7Y/edit?usp=sharing"",""แผน!AK24"")"),3)</f>
        <v>3</v>
      </c>
      <c r="J209" s="380">
        <v>2</v>
      </c>
      <c r="K209" s="569">
        <f ca="1">IF(I209&gt;0,J209*100/I209,0)</f>
        <v>66.666666666666671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IFERROR(__xludf.DUMMYFUNCTION("IMPORTRANGE(""https://docs.google.com/spreadsheets/d/1eHaY18a8A9IcSdp1K8H6x8fbOy06t2VsZHhMHf-1x7Y/edit?usp=sharing"",""แผน!JX24"")"),3)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IFERROR(__xludf.DUMMYFUNCTION("IMPORTRANGE(""https://docs.google.com/spreadsheets/d/1eHaY18a8A9IcSdp1K8H6x8fbOy06t2VsZHhMHf-1x7Y/edit?usp=sharing"",""แผน!JY24"")"),1)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IFERROR(__xludf.DUMMYFUNCTION("IMPORTRANGE(""https://docs.google.com/spreadsheets/d/1eHaY18a8A9IcSdp1K8H6x8fbOy06t2VsZHhMHf-1x7Y/edit?usp=sharing"",""แผน!AM24"")"),0)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IFERROR(__xludf.DUMMYFUNCTION("IMPORTRANGE(""https://docs.google.com/spreadsheets/d/1eHaY18a8A9IcSdp1K8H6x8fbOy06t2VsZHhMHf-1x7Y/edit?usp=sharing"",""แผน!AN24"")"),0)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IFERROR(__xludf.DUMMYFUNCTION("IMPORTRANGE(""https://docs.google.com/spreadsheets/d/1eHaY18a8A9IcSdp1K8H6x8fbOy06t2VsZHhMHf-1x7Y/edit?usp=sharing"",""แผน!AO24"")"),0)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IFERROR(__xludf.DUMMYFUNCTION("IMPORTRANGE(""https://docs.google.com/spreadsheets/d/1eHaY18a8A9IcSdp1K8H6x8fbOy06t2VsZHhMHf-1x7Y/edit?usp=sharing"",""แผน!LY24"")"),0)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IFERROR(__xludf.DUMMYFUNCTION("IMPORTRANGE(""https://docs.google.com/spreadsheets/d/1eHaY18a8A9IcSdp1K8H6x8fbOy06t2VsZHhMHf-1x7Y/edit?usp=sharing"",""แผน!AP24"")"),0)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IFERROR(__xludf.DUMMYFUNCTION("IMPORTRANGE(""https://docs.google.com/spreadsheets/d/1eHaY18a8A9IcSdp1K8H6x8fbOy06t2VsZHhMHf-1x7Y/edit?usp=sharing"",""แผน!AP24"")"),0)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IFERROR(__xludf.DUMMYFUNCTION("IMPORTRANGE(""https://docs.google.com/spreadsheets/d/1eHaY18a8A9IcSdp1K8H6x8fbOy06t2VsZHhMHf-1x7Y/edit?usp=sharing"",""แผน!AR24"")"),2500)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IFERROR(__xludf.DUMMYFUNCTION("IMPORTRANGE(""https://docs.google.com/spreadsheets/d/1eHaY18a8A9IcSdp1K8H6x8fbOy06t2VsZHhMHf-1x7Y/edit?usp=sharing"",""แผน!AS24"")"),10000)</f>
        <v>10000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IFERROR(__xludf.DUMMYFUNCTION("IMPORTRANGE(""https://docs.google.com/spreadsheets/d/1eHaY18a8A9IcSdp1K8H6x8fbOy06t2VsZHhMHf-1x7Y/edit?usp=sharing"",""แผน!AT24"")"),0)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IFERROR(__xludf.DUMMYFUNCTION("IMPORTRANGE(""https://docs.google.com/spreadsheets/d/1eHaY18a8A9IcSdp1K8H6x8fbOy06t2VsZHhMHf-1x7Y/edit?usp=sharing"",""แผน!AV24"")"),100000)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IFERROR(__xludf.DUMMYFUNCTION("IMPORTRANGE(""https://docs.google.com/spreadsheets/d/1eHaY18a8A9IcSdp1K8H6x8fbOy06t2VsZHhMHf-1x7Y/edit?usp=sharing"",""แผน!AV24"")"),100000)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IFERROR(__xludf.DUMMYFUNCTION("IMPORTRANGE(""https://docs.google.com/spreadsheets/d/1eHaY18a8A9IcSdp1K8H6x8fbOy06t2VsZHhMHf-1x7Y/edit?usp=sharing"",""แผน!AU24"")"),0)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IFERROR(__xludf.DUMMYFUNCTION("IMPORTRANGE(""https://docs.google.com/spreadsheets/d/1eHaY18a8A9IcSdp1K8H6x8fbOy06t2VsZHhMHf-1x7Y/edit?usp=sharing"",""แผน!AX24"")"),0)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IFERROR(__xludf.DUMMYFUNCTION("IMPORTRANGE(""https://docs.google.com/spreadsheets/d/1eHaY18a8A9IcSdp1K8H6x8fbOy06t2VsZHhMHf-1x7Y/edit?usp=sharing"",""แผน!AY24"")"),0)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IFERROR(__xludf.DUMMYFUNCTION("IMPORTRANGE(""https://docs.google.com/spreadsheets/d/1eHaY18a8A9IcSdp1K8H6x8fbOy06t2VsZHhMHf-1x7Y/edit?usp=sharing"",""แผน!AZ24"")"),0)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IFERROR(__xludf.DUMMYFUNCTION("IMPORTRANGE(""https://docs.google.com/spreadsheets/d/1eHaY18a8A9IcSdp1K8H6x8fbOy06t2VsZHhMHf-1x7Y/edit?usp=sharing"",""แผน!BA24"")"),0)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IFERROR(__xludf.DUMMYFUNCTION("IMPORTRANGE(""https://docs.google.com/spreadsheets/d/1eHaY18a8A9IcSdp1K8H6x8fbOy06t2VsZHhMHf-1x7Y/edit?usp=sharing"",""แผน!BG24"")"),0)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IFERROR(__xludf.DUMMYFUNCTION("IMPORTRANGE(""https://docs.google.com/spreadsheets/d/1eHaY18a8A9IcSdp1K8H6x8fbOy06t2VsZHhMHf-1x7Y/edit?usp=sharing"",""แผน!BB24"")"),0)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IFERROR(__xludf.DUMMYFUNCTION("IMPORTRANGE(""https://docs.google.com/spreadsheets/d/1eHaY18a8A9IcSdp1K8H6x8fbOy06t2VsZHhMHf-1x7Y/edit?usp=sharing"",""แผน!BC24"")"),0)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IFERROR(__xludf.DUMMYFUNCTION("IMPORTRANGE(""https://docs.google.com/spreadsheets/d/1eHaY18a8A9IcSdp1K8H6x8fbOy06t2VsZHhMHf-1x7Y/edit?usp=sharing"",""แผน!BD24"")"),0)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IFERROR(__xludf.DUMMYFUNCTION("IMPORTRANGE(""https://docs.google.com/spreadsheets/d/1eHaY18a8A9IcSdp1K8H6x8fbOy06t2VsZHhMHf-1x7Y/edit?usp=sharing"",""แผน!BE24"")"),0)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IFERROR(__xludf.DUMMYFUNCTION("IMPORTRANGE(""https://docs.google.com/spreadsheets/d/1eHaY18a8A9IcSdp1K8H6x8fbOy06t2VsZHhMHf-1x7Y/edit?usp=sharing"",""แผน!BH24"")"),0)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20500</v>
      </c>
      <c r="N266" s="715">
        <f ca="1">N267+N268</f>
        <v>16390</v>
      </c>
      <c r="O266" s="715">
        <f ca="1">IF(L266&gt;0,N266*100/L266,0)</f>
        <v>327.8</v>
      </c>
      <c r="P266" s="715">
        <f ca="1">IF(M266&gt;0,N266*100/M266,0)</f>
        <v>79.951219512195124</v>
      </c>
      <c r="Q266" s="715">
        <f ca="1">Q267+Q268</f>
        <v>50660</v>
      </c>
      <c r="R266" s="715">
        <f ca="1">R267+R268</f>
        <v>50660</v>
      </c>
      <c r="S266" s="715">
        <f ca="1">S267+S268</f>
        <v>45220</v>
      </c>
      <c r="T266" s="715">
        <f ca="1">IF(Q266&gt;0,S266*100/Q266,0)</f>
        <v>89.261744966442947</v>
      </c>
      <c r="U266" s="715">
        <f ca="1">IF(R266&gt;0,S266*100/R266,0)</f>
        <v>89.261744966442947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20500</v>
      </c>
      <c r="N268" s="558">
        <f ca="1">N271+N274</f>
        <v>16390</v>
      </c>
      <c r="O268" s="558">
        <f ca="1">IF(L268&gt;0,N268*100/L268,0)</f>
        <v>327.8</v>
      </c>
      <c r="P268" s="558">
        <f ca="1">IF(M268&gt;0,N268*100/M268,0)</f>
        <v>79.951219512195124</v>
      </c>
      <c r="Q268" s="558">
        <f ca="1">Q271+Q274</f>
        <v>50660</v>
      </c>
      <c r="R268" s="558">
        <f ca="1">R271+R274</f>
        <v>50660</v>
      </c>
      <c r="S268" s="558">
        <f ca="1">S271+S274</f>
        <v>45220</v>
      </c>
      <c r="T268" s="558">
        <f ca="1">IF(Q268&gt;0,S268*100/Q268,0)</f>
        <v>89.261744966442947</v>
      </c>
      <c r="U268" s="558">
        <f ca="1">IF(R268&gt;0,S268*100/R268,0)</f>
        <v>89.261744966442947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20500</v>
      </c>
      <c r="N269" s="558">
        <f ca="1">N270+N271</f>
        <v>16390</v>
      </c>
      <c r="O269" s="558">
        <f ca="1">IF(L269&gt;0,N269*100/L269,0)</f>
        <v>327.8</v>
      </c>
      <c r="P269" s="558">
        <f ca="1">IF(M269&gt;0,N269*100/M269,0)</f>
        <v>79.951219512195124</v>
      </c>
      <c r="Q269" s="558">
        <f ca="1">Q270+Q271</f>
        <v>50660</v>
      </c>
      <c r="R269" s="558">
        <f ca="1">R270+R271</f>
        <v>50660</v>
      </c>
      <c r="S269" s="558">
        <f ca="1">S270+S271</f>
        <v>45220</v>
      </c>
      <c r="T269" s="558">
        <f ca="1">IF(Q269&gt;0,S269*100/Q269,0)</f>
        <v>89.261744966442947</v>
      </c>
      <c r="U269" s="558">
        <f ca="1">IF(R269&gt;0,S269*100/R269,0)</f>
        <v>89.261744966442947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IFERROR(__xludf.DUMMYFUNCTION("IMPORTRANGE(""https://docs.google.com/spreadsheets/d/1-uDff_7J0KD5mKrp0Vvzr7lt3OU09vwQwhkpOPPYv2Y/edit?usp=sharing"",""งบพรบ!DE24"")"),5000)</f>
        <v>5000</v>
      </c>
      <c r="M271" s="558">
        <f ca="1">IFERROR(__xludf.DUMMYFUNCTION("IMPORTRANGE(""https://docs.google.com/spreadsheets/d/1-uDff_7J0KD5mKrp0Vvzr7lt3OU09vwQwhkpOPPYv2Y/edit?usp=sharing"",""งบพรบ!DJ24"")"),20500)</f>
        <v>20500</v>
      </c>
      <c r="N271" s="558">
        <f ca="1">IFERROR(__xludf.DUMMYFUNCTION("IMPORTRANGE(""https://docs.google.com/spreadsheets/d/1-uDff_7J0KD5mKrp0Vvzr7lt3OU09vwQwhkpOPPYv2Y/edit?usp=sharing"",""งบพรบ!DL24"")"),16390)</f>
        <v>16390</v>
      </c>
      <c r="O271" s="558">
        <f ca="1">IF(L271&gt;0,N271*100/L271,0)</f>
        <v>327.8</v>
      </c>
      <c r="P271" s="558">
        <f ca="1">IF(M271&gt;0,N271*100/M271,0)</f>
        <v>79.951219512195124</v>
      </c>
      <c r="Q271" s="558">
        <f ca="1">IFERROR(__xludf.DUMMYFUNCTION("IMPORTRANGE(""https://docs.google.com/spreadsheets/d/1ItG2mGa2ceCfYo0BwxsXqNm01IGEUdYcSSLTEv9YCik/edit?usp=sharing"",""เบิกจ่ายกองทุน!AP24"")"),50660)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IFERROR(__xludf.DUMMYFUNCTION("IMPORTRANGE(""https://docs.google.com/spreadsheets/d/1ItG2mGa2ceCfYo0BwxsXqNm01IGEUdYcSSLTEv9YCik/edit?usp=sharing"",""เบิกจ่ายกองทุน!AQ24"")"),50660)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IFERROR(__xludf.DUMMYFUNCTION("IMPORTRANGE(""https://docs.google.com/spreadsheets/d/1ItG2mGa2ceCfYo0BwxsXqNm01IGEUdYcSSLTEv9YCik/edit?usp=sharing"",""เบิกจ่ายกองทุน!AR24"")"),45220)</f>
        <v>45220</v>
      </c>
      <c r="T271" s="558">
        <f ca="1">IF(Q271&gt;0,S271*100/Q271,0)</f>
        <v>89.261744966442947</v>
      </c>
      <c r="U271" s="558">
        <f ca="1">IF(R271&gt;0,S271*100/R271,0)</f>
        <v>89.261744966442947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IFERROR(__xludf.DUMMYFUNCTION("IMPORTRANGE(""https://docs.google.com/spreadsheets/d/1-uDff_7J0KD5mKrp0Vvzr7lt3OU09vwQwhkpOPPYv2Y/edit?usp=sharing"",""งบพรบ!DH24"")"),0)</f>
        <v>0</v>
      </c>
      <c r="M274" s="558">
        <f ca="1">IFERROR(__xludf.DUMMYFUNCTION("IMPORTRANGE(""https://docs.google.com/spreadsheets/d/1-uDff_7J0KD5mKrp0Vvzr7lt3OU09vwQwhkpOPPYv2Y/edit?usp=sharing"",""งบพรบ!DK24"")"),0)</f>
        <v>0</v>
      </c>
      <c r="N274" s="558">
        <f ca="1">IFERROR(__xludf.DUMMYFUNCTION("IMPORTRANGE(""https://docs.google.com/spreadsheets/d/1-uDff_7J0KD5mKrp0Vvzr7lt3OU09vwQwhkpOPPYv2Y/edit?usp=sharing"",""งบพรบ!DM24"")"),0)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IFERROR(__xludf.DUMMYFUNCTION("IMPORTRANGE(""https://docs.google.com/spreadsheets/d/1eHaY18a8A9IcSdp1K8H6x8fbOy06t2VsZHhMHf-1x7Y/edit?usp=sharing"",""แผน!EC24"")"),22)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67770</v>
      </c>
      <c r="N282" s="547">
        <f ca="1">N283+N284</f>
        <v>65019.47</v>
      </c>
      <c r="O282" s="547">
        <f ca="1">IF(L282&gt;0,N282*100/L282,0)</f>
        <v>115.85792943692088</v>
      </c>
      <c r="P282" s="547">
        <f ca="1">IF(M282&gt;0,N282*100/M282,0)</f>
        <v>95.941375239781621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67770</v>
      </c>
      <c r="N284" s="224">
        <f ca="1">N287+N290</f>
        <v>65019.47</v>
      </c>
      <c r="O284" s="224">
        <f ca="1">IF(L284&gt;0,N284*100/L284,0)</f>
        <v>115.85792943692088</v>
      </c>
      <c r="P284" s="224">
        <f ca="1">IF(M284&gt;0,N284*100/M284,0)</f>
        <v>95.941375239781621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67770</v>
      </c>
      <c r="N285" s="224">
        <f ca="1">N286+N287</f>
        <v>65019.47</v>
      </c>
      <c r="O285" s="224">
        <f ca="1">IF(L285&gt;0,N285*100/L285,0)</f>
        <v>115.85792943692088</v>
      </c>
      <c r="P285" s="224">
        <f ca="1">IF(M285&gt;0,N285*100/M285,0)</f>
        <v>95.941375239781621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IFERROR(__xludf.DUMMYFUNCTION("IMPORTRANGE(""https://docs.google.com/spreadsheets/d/1-uDff_7J0KD5mKrp0Vvzr7lt3OU09vwQwhkpOPPYv2Y/edit?usp=sharing"",""งบพรบ!DO24"")"),56120)</f>
        <v>56120</v>
      </c>
      <c r="M287" s="224">
        <f ca="1">IFERROR(__xludf.DUMMYFUNCTION("IMPORTRANGE(""https://docs.google.com/spreadsheets/d/1-uDff_7J0KD5mKrp0Vvzr7lt3OU09vwQwhkpOPPYv2Y/edit?usp=sharing"",""งบพรบ!DT24"")"),67770)</f>
        <v>67770</v>
      </c>
      <c r="N287" s="224">
        <f ca="1">IFERROR(__xludf.DUMMYFUNCTION("IMPORTRANGE(""https://docs.google.com/spreadsheets/d/1-uDff_7J0KD5mKrp0Vvzr7lt3OU09vwQwhkpOPPYv2Y/edit?usp=sharing"",""งบพรบ!DV24"")"),65019.47)</f>
        <v>65019.47</v>
      </c>
      <c r="O287" s="224">
        <f ca="1">IF(L287&gt;0,N287*100/L287,0)</f>
        <v>115.85792943692088</v>
      </c>
      <c r="P287" s="224">
        <f ca="1">IF(M287&gt;0,N287*100/M287,0)</f>
        <v>95.941375239781621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IFERROR(__xludf.DUMMYFUNCTION("IMPORTRANGE(""https://docs.google.com/spreadsheets/d/1-uDff_7J0KD5mKrp0Vvzr7lt3OU09vwQwhkpOPPYv2Y/edit?usp=sharing"",""งบพรบ!DR24"")"),0)</f>
        <v>0</v>
      </c>
      <c r="M290" s="224">
        <f ca="1">IFERROR(__xludf.DUMMYFUNCTION("IMPORTRANGE(""https://docs.google.com/spreadsheets/d/1-uDff_7J0KD5mKrp0Vvzr7lt3OU09vwQwhkpOPPYv2Y/edit?usp=sharing"",""งบพรบ!DU24"")"),0)</f>
        <v>0</v>
      </c>
      <c r="N290" s="224">
        <f ca="1">IFERROR(__xludf.DUMMYFUNCTION("IMPORTRANGE(""https://docs.google.com/spreadsheets/d/1-uDff_7J0KD5mKrp0Vvzr7lt3OU09vwQwhkpOPPYv2Y/edit?usp=sharing"",""งบพรบ!DW24"")"),0)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IFERROR(__xludf.DUMMYFUNCTION("IMPORTRANGE(""https://docs.google.com/spreadsheets/d/1eHaY18a8A9IcSdp1K8H6x8fbOy06t2VsZHhMHf-1x7Y/edit?usp=sharing"",""แผน!EE24"")"),100)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IFERROR(__xludf.DUMMYFUNCTION("IMPORTRANGE(""https://docs.google.com/spreadsheets/d/1eHaY18a8A9IcSdp1K8H6x8fbOy06t2VsZHhMHf-1x7Y/edit?usp=sharing"",""แผน!ED24"")"),10)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IFERROR(__xludf.DUMMYFUNCTION("IMPORTRANGE(""https://docs.google.com/spreadsheets/d/1eHaY18a8A9IcSdp1K8H6x8fbOy06t2VsZHhMHf-1x7Y/edit?usp=sharing"",""แผน!ED24"")"),10)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IFERROR(__xludf.DUMMYFUNCTION("IMPORTRANGE(""https://docs.google.com/spreadsheets/d/1eHaY18a8A9IcSdp1K8H6x8fbOy06t2VsZHhMHf-1x7Y/edit?usp=sharing"",""แผน!ED24"")"),10)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IFERROR(__xludf.DUMMYFUNCTION("IMPORTRANGE(""https://docs.google.com/spreadsheets/d/1eHaY18a8A9IcSdp1K8H6x8fbOy06t2VsZHhMHf-1x7Y/edit?usp=sharing"",""แผน!ED24"")"),10)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IFERROR(__xludf.DUMMYFUNCTION("IMPORTRANGE(""https://docs.google.com/spreadsheets/d/1eHaY18a8A9IcSdp1K8H6x8fbOy06t2VsZHhMHf-1x7Y/edit?usp=sharing"",""แผน!ED24"")"),10)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162405</v>
      </c>
      <c r="T303" s="547">
        <f ca="1">IF(Q303&gt;0,S303*100/Q303,0)</f>
        <v>62.234059613871771</v>
      </c>
      <c r="U303" s="547">
        <f ca="1">IF(R303&gt;0,S303*100/R303,0)</f>
        <v>61.248387753716649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162405</v>
      </c>
      <c r="T305" s="224">
        <f ca="1">IF(Q305&gt;0,S305*100/Q305,0)</f>
        <v>62.234059613871771</v>
      </c>
      <c r="U305" s="224">
        <f ca="1">IF(R305&gt;0,S305*100/R305,0)</f>
        <v>61.248387753716649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162405</v>
      </c>
      <c r="T306" s="224">
        <f ca="1">IF(Q306&gt;0,S306*100/Q306,0)</f>
        <v>62.234059613871771</v>
      </c>
      <c r="U306" s="224">
        <f ca="1">IF(R306&gt;0,S306*100/R306,0)</f>
        <v>61.248387753716649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IFERROR(__xludf.DUMMYFUNCTION("IMPORTRANGE(""https://docs.google.com/spreadsheets/d/1-uDff_7J0KD5mKrp0Vvzr7lt3OU09vwQwhkpOPPYv2Y/edit?usp=sharing"",""งบพรบ!DY24"")"),0)</f>
        <v>0</v>
      </c>
      <c r="M308" s="224">
        <f ca="1">IFERROR(__xludf.DUMMYFUNCTION("IMPORTRANGE(""https://docs.google.com/spreadsheets/d/1-uDff_7J0KD5mKrp0Vvzr7lt3OU09vwQwhkpOPPYv2Y/edit?usp=sharing"",""งบพรบ!ED24"")"),0)</f>
        <v>0</v>
      </c>
      <c r="N308" s="224">
        <f ca="1">IFERROR(__xludf.DUMMYFUNCTION("IMPORTRANGE(""https://docs.google.com/spreadsheets/d/1-uDff_7J0KD5mKrp0Vvzr7lt3OU09vwQwhkpOPPYv2Y/edit?usp=sharing"",""งบพรบ!EF24"")"),0)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IFERROR(__xludf.DUMMYFUNCTION("IMPORTRANGE(""https://docs.google.com/spreadsheets/d/1ItG2mGa2ceCfYo0BwxsXqNm01IGEUdYcSSLTEv9YCik/edit?usp=sharing"",""เบิกจ่ายกองทุน!BB24"")"),260958.39)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IFERROR(__xludf.DUMMYFUNCTION("IMPORTRANGE(""https://docs.google.com/spreadsheets/d/1ItG2mGa2ceCfYo0BwxsXqNm01IGEUdYcSSLTEv9YCik/edit?usp=sharing"",""เบิกจ่ายกองทุน!BC24"")"),265158)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IFERROR(__xludf.DUMMYFUNCTION("IMPORTRANGE(""https://docs.google.com/spreadsheets/d/1ItG2mGa2ceCfYo0BwxsXqNm01IGEUdYcSSLTEv9YCik/edit?usp=sharing"",""เบิกจ่ายกองทุน!BD24"")"),162405)</f>
        <v>162405</v>
      </c>
      <c r="T308" s="224">
        <f ca="1">IF(Q308&gt;0,S308*100/Q308,0)</f>
        <v>62.234059613871771</v>
      </c>
      <c r="U308" s="224">
        <f ca="1">IF(R308&gt;0,S308*100/R308,0)</f>
        <v>61.248387753716649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IFERROR(__xludf.DUMMYFUNCTION("IMPORTRANGE(""https://docs.google.com/spreadsheets/d/1-uDff_7J0KD5mKrp0Vvzr7lt3OU09vwQwhkpOPPYv2Y/edit?usp=sharing"",""งบพรบ!EB24"")"),0)</f>
        <v>0</v>
      </c>
      <c r="M311" s="224">
        <f ca="1">IFERROR(__xludf.DUMMYFUNCTION("IMPORTRANGE(""https://docs.google.com/spreadsheets/d/1-uDff_7J0KD5mKrp0Vvzr7lt3OU09vwQwhkpOPPYv2Y/edit?usp=sharing"",""งบพรบ!EE24"")"),0)</f>
        <v>0</v>
      </c>
      <c r="N311" s="224">
        <f ca="1">IFERROR(__xludf.DUMMYFUNCTION("IMPORTRANGE(""https://docs.google.com/spreadsheets/d/1-uDff_7J0KD5mKrp0Vvzr7lt3OU09vwQwhkpOPPYv2Y/edit?usp=sharing"",""งบพรบ!EG24"")"),0)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IFERROR(__xludf.DUMMYFUNCTION("IMPORTRANGE(""https://docs.google.com/spreadsheets/d/1eHaY18a8A9IcSdp1K8H6x8fbOy06t2VsZHhMHf-1x7Y/edit?usp=sharing"",""แผน!EF24"")"),30)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IFERROR(__xludf.DUMMYFUNCTION("IMPORTRANGE(""https://docs.google.com/spreadsheets/d/1-uDff_7J0KD5mKrp0Vvzr7lt3OU09vwQwhkpOPPYv2Y/edit?usp=sharing"",""งบพรบ!EI24"")"),0)</f>
        <v>0</v>
      </c>
      <c r="M325" s="224">
        <f ca="1">IFERROR(__xludf.DUMMYFUNCTION("IMPORTRANGE(""https://docs.google.com/spreadsheets/d/1-uDff_7J0KD5mKrp0Vvzr7lt3OU09vwQwhkpOPPYv2Y/edit?usp=sharing"",""งบพรบ!EN24"")"),0)</f>
        <v>0</v>
      </c>
      <c r="N325" s="224">
        <f ca="1">IFERROR(__xludf.DUMMYFUNCTION("IMPORTRANGE(""https://docs.google.com/spreadsheets/d/1-uDff_7J0KD5mKrp0Vvzr7lt3OU09vwQwhkpOPPYv2Y/edit?usp=sharing"",""งบพรบ!EP24"")"),0)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IFERROR(__xludf.DUMMYFUNCTION("IMPORTRANGE(""https://docs.google.com/spreadsheets/d/1-uDff_7J0KD5mKrp0Vvzr7lt3OU09vwQwhkpOPPYv2Y/edit?usp=sharing"",""งบพรบ!EL24"")"),0)</f>
        <v>0</v>
      </c>
      <c r="M328" s="224">
        <f ca="1">IFERROR(__xludf.DUMMYFUNCTION("IMPORTRANGE(""https://docs.google.com/spreadsheets/d/1-uDff_7J0KD5mKrp0Vvzr7lt3OU09vwQwhkpOPPYv2Y/edit?usp=sharing"",""งบพรบ!EO24"")"),0)</f>
        <v>0</v>
      </c>
      <c r="N328" s="224">
        <f ca="1">IFERROR(__xludf.DUMMYFUNCTION("IMPORTRANGE(""https://docs.google.com/spreadsheets/d/1-uDff_7J0KD5mKrp0Vvzr7lt3OU09vwQwhkpOPPYv2Y/edit?usp=sharing"",""งบพรบ!EQ24"")"),0)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IFERROR(__xludf.DUMMYFUNCTION("IMPORTRANGE(""https://docs.google.com/spreadsheets/d/1eHaY18a8A9IcSdp1K8H6x8fbOy06t2VsZHhMHf-1x7Y/edit?usp=sharing"",""แผน!EJ24"")"),0)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IFERROR(__xludf.DUMMYFUNCTION("IMPORTRANGE(""https://docs.google.com/spreadsheets/d/1eHaY18a8A9IcSdp1K8H6x8fbOy06t2VsZHhMHf-1x7Y/edit?usp=sharing"",""แผน!EK24"")"),1700)</f>
        <v>1700</v>
      </c>
      <c r="J332" s="300">
        <f ca="1">J344+J347+J348+J349+J353+J354</f>
        <v>5694</v>
      </c>
      <c r="K332" s="679">
        <f ca="1">IF(I332&gt;0,J332*100/I332,0)</f>
        <v>334.94117647058823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185000</v>
      </c>
      <c r="M333" s="547">
        <f ca="1">M334+M335</f>
        <v>185000</v>
      </c>
      <c r="N333" s="547">
        <f ca="1">N334+N335</f>
        <v>161731</v>
      </c>
      <c r="O333" s="547">
        <f ca="1">IF(L333&gt;0,N333*100/L333,0)</f>
        <v>87.422162162162167</v>
      </c>
      <c r="P333" s="547">
        <f ca="1">IF(M333&gt;0,N333*100/M333,0)</f>
        <v>87.422162162162167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185000</v>
      </c>
      <c r="M335" s="224">
        <f ca="1">M338+M341</f>
        <v>185000</v>
      </c>
      <c r="N335" s="224">
        <f ca="1">N338+N341</f>
        <v>161731</v>
      </c>
      <c r="O335" s="224">
        <f ca="1">IF(L335&gt;0,N335*100/L335,0)</f>
        <v>87.422162162162167</v>
      </c>
      <c r="P335" s="224">
        <f ca="1">IF(M335&gt;0,N335*100/M335,0)</f>
        <v>87.422162162162167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185000</v>
      </c>
      <c r="M336" s="224">
        <f ca="1">M337+M338</f>
        <v>185000</v>
      </c>
      <c r="N336" s="224">
        <f ca="1">N337+N338</f>
        <v>161731</v>
      </c>
      <c r="O336" s="224">
        <f ca="1">IF(L336&gt;0,N336*100/L336,0)</f>
        <v>87.422162162162167</v>
      </c>
      <c r="P336" s="224">
        <f ca="1">IF(M336&gt;0,N336*100/M336,0)</f>
        <v>87.422162162162167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IFERROR(__xludf.DUMMYFUNCTION("IMPORTRANGE(""https://docs.google.com/spreadsheets/d/1-uDff_7J0KD5mKrp0Vvzr7lt3OU09vwQwhkpOPPYv2Y/edit?usp=sharing"",""งบพรบ!ES24"")"),185000)</f>
        <v>185000</v>
      </c>
      <c r="M338" s="224">
        <f ca="1">IFERROR(__xludf.DUMMYFUNCTION("IMPORTRANGE(""https://docs.google.com/spreadsheets/d/1-uDff_7J0KD5mKrp0Vvzr7lt3OU09vwQwhkpOPPYv2Y/edit?usp=sharing"",""งบพรบ!EX24"")"),185000)</f>
        <v>185000</v>
      </c>
      <c r="N338" s="224">
        <f ca="1">IFERROR(__xludf.DUMMYFUNCTION("IMPORTRANGE(""https://docs.google.com/spreadsheets/d/1-uDff_7J0KD5mKrp0Vvzr7lt3OU09vwQwhkpOPPYv2Y/edit?usp=sharing"",""งบพรบ!EZ24"")"),161731)</f>
        <v>161731</v>
      </c>
      <c r="O338" s="224">
        <f ca="1">IF(L338&gt;0,N338*100/L338,0)</f>
        <v>87.422162162162167</v>
      </c>
      <c r="P338" s="224">
        <f ca="1">IF(M338&gt;0,N338*100/M338,0)</f>
        <v>87.422162162162167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IFERROR(__xludf.DUMMYFUNCTION("IMPORTRANGE(""https://docs.google.com/spreadsheets/d/1-uDff_7J0KD5mKrp0Vvzr7lt3OU09vwQwhkpOPPYv2Y/edit?usp=sharing"",""งบพรบ!EV24"")"),0)</f>
        <v>0</v>
      </c>
      <c r="M341" s="224">
        <f ca="1">IFERROR(__xludf.DUMMYFUNCTION("IMPORTRANGE(""https://docs.google.com/spreadsheets/d/1-uDff_7J0KD5mKrp0Vvzr7lt3OU09vwQwhkpOPPYv2Y/edit?usp=sharing"",""งบพรบ!EY24"")"),0)</f>
        <v>0</v>
      </c>
      <c r="N341" s="224">
        <f ca="1">IFERROR(__xludf.DUMMYFUNCTION("IMPORTRANGE(""https://docs.google.com/spreadsheets/d/1-uDff_7J0KD5mKrp0Vvzr7lt3OU09vwQwhkpOPPYv2Y/edit?usp=sharing"",""งบพรบ!FA24"")"),0)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1059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IFERROR(__xludf.DUMMYFUNCTION("IMPORTRANGE(""https://docs.google.com/spreadsheets/d/1awYsYK3VOup2i3Pq_Yjnu8DRu_mYwSBnCR2QPthd0rU/edit?usp=sharing"",""ศูนย์ยกเว้นโฉนด!D24"")"),1042)</f>
        <v>1042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IFERROR(__xludf.DUMMYFUNCTION("IMPORTRANGE(""https://docs.google.com/spreadsheets/d/1eHaY18a8A9IcSdp1K8H6x8fbOy06t2VsZHhMHf-1x7Y/edit?usp=sharing"",""แผน!EL24"")"),6)</f>
        <v>6</v>
      </c>
      <c r="J346" s="184">
        <f ca="1">IFERROR(__xludf.DUMMYFUNCTION("IMPORTRANGE(""https://docs.google.com/spreadsheets/d/1awYsYK3VOup2i3Pq_Yjnu8DRu_mYwSBnCR2QPthd0rU/edit?usp=sharing"",""ศูนย์รวม!E24"")"),3)</f>
        <v>3</v>
      </c>
      <c r="K346" s="224">
        <f ca="1">IF(I346&gt;0,J346*100/I346,0)</f>
        <v>50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IFERROR(__xludf.DUMMYFUNCTION("IMPORTRANGE(""https://docs.google.com/spreadsheets/d/1awYsYK3VOup2i3Pq_Yjnu8DRu_mYwSBnCR2QPthd0rU/edit?usp=sharing"",""ศูนย์ยกเว้นโฉนด!F24"")"),0)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IFERROR(__xludf.DUMMYFUNCTION("IMPORTRANGE(""https://docs.google.com/spreadsheets/d/1awYsYK3VOup2i3Pq_Yjnu8DRu_mYwSBnCR2QPthd0rU/edit?usp=sharing"",""ศูนย์ยกเว้นโฉนด!G24"")"),17)</f>
        <v>17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IFERROR(__xludf.DUMMYFUNCTION("IMPORTRANGE(""https://docs.google.com/spreadsheets/d/1awYsYK3VOup2i3Pq_Yjnu8DRu_mYwSBnCR2QPthd0rU/edit?usp=sharing"",""ศูนย์ยกเว้นโฉนด!H24"")"),0)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4635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IFERROR(__xludf.DUMMYFUNCTION("IMPORTRANGE(""https://docs.google.com/spreadsheets/d/1awYsYK3VOup2i3Pq_Yjnu8DRu_mYwSBnCR2QPthd0rU/edit?usp=sharing"",""โฉนดM3!G24"")"),1649)</f>
        <v>1649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IFERROR(__xludf.DUMMYFUNCTION("IMPORTRANGE(""https://docs.google.com/spreadsheets/d/1awYsYK3VOup2i3Pq_Yjnu8DRu_mYwSBnCR2QPthd0rU/edit?usp=sharing"",""โฉนดM3!H24"")"),4086)</f>
        <v>4086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IFERROR(__xludf.DUMMYFUNCTION("IMPORTRANGE(""https://docs.google.com/spreadsheets/d/1awYsYK3VOup2i3Pq_Yjnu8DRu_mYwSBnCR2QPthd0rU/edit?usp=sharing"",""โฉนดM3!I24"")"),549)</f>
        <v>549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684750</v>
      </c>
      <c r="M356" s="547">
        <f ca="1">M357+M358</f>
        <v>781680</v>
      </c>
      <c r="N356" s="547">
        <f ca="1">N357+N358</f>
        <v>650852.77</v>
      </c>
      <c r="O356" s="547">
        <f ca="1">IF(L356&gt;0,N356*100/L356,0)</f>
        <v>95.049692588535962</v>
      </c>
      <c r="P356" s="547">
        <f ca="1">IF(M356&gt;0,N356*100/M356,0)</f>
        <v>83.263326425135602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684750</v>
      </c>
      <c r="M358" s="224">
        <f ca="1">M361+M364</f>
        <v>781680</v>
      </c>
      <c r="N358" s="224">
        <f ca="1">N361+N364</f>
        <v>650852.77</v>
      </c>
      <c r="O358" s="224">
        <f ca="1">IF(L358&gt;0,N358*100/L358,0)</f>
        <v>95.049692588535962</v>
      </c>
      <c r="P358" s="224">
        <f ca="1">IF(M358&gt;0,N358*100/M358,0)</f>
        <v>83.263326425135602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684750</v>
      </c>
      <c r="M359" s="224">
        <f ca="1">M360+M361</f>
        <v>781680</v>
      </c>
      <c r="N359" s="224">
        <f ca="1">N360+N361</f>
        <v>650852.77</v>
      </c>
      <c r="O359" s="224">
        <f ca="1">IF(L359&gt;0,N359*100/L359,0)</f>
        <v>95.049692588535962</v>
      </c>
      <c r="P359" s="224">
        <f ca="1">IF(M359&gt;0,N359*100/M359,0)</f>
        <v>83.263326425135602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IFERROR(__xludf.DUMMYFUNCTION("IMPORTRANGE(""https://docs.google.com/spreadsheets/d/1-uDff_7J0KD5mKrp0Vvzr7lt3OU09vwQwhkpOPPYv2Y/edit?usp=sharing"",""งบพรบ!FC24"")"),684750)</f>
        <v>684750</v>
      </c>
      <c r="M361" s="224">
        <f ca="1">IFERROR(__xludf.DUMMYFUNCTION("IMPORTRANGE(""https://docs.google.com/spreadsheets/d/1-uDff_7J0KD5mKrp0Vvzr7lt3OU09vwQwhkpOPPYv2Y/edit?usp=sharing"",""งบพรบ!FH24"")"),781680)</f>
        <v>781680</v>
      </c>
      <c r="N361" s="224">
        <f ca="1">IFERROR(__xludf.DUMMYFUNCTION("IMPORTRANGE(""https://docs.google.com/spreadsheets/d/1-uDff_7J0KD5mKrp0Vvzr7lt3OU09vwQwhkpOPPYv2Y/edit?usp=sharing"",""งบพรบ!FJ24"")"),650852.77)</f>
        <v>650852.77</v>
      </c>
      <c r="O361" s="224">
        <f ca="1">IF(L361&gt;0,N361*100/L361,0)</f>
        <v>95.049692588535962</v>
      </c>
      <c r="P361" s="224">
        <f ca="1">IF(M361&gt;0,N361*100/M361,0)</f>
        <v>83.263326425135602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IFERROR(__xludf.DUMMYFUNCTION("IMPORTRANGE(""https://docs.google.com/spreadsheets/d/1-uDff_7J0KD5mKrp0Vvzr7lt3OU09vwQwhkpOPPYv2Y/edit?usp=sharing"",""งบพรบ!FF24"")"),0)</f>
        <v>0</v>
      </c>
      <c r="M364" s="224">
        <f ca="1">IFERROR(__xludf.DUMMYFUNCTION("IMPORTRANGE(""https://docs.google.com/spreadsheets/d/1-uDff_7J0KD5mKrp0Vvzr7lt3OU09vwQwhkpOPPYv2Y/edit?usp=sharing"",""งบพรบ!FI24"")"),0)</f>
        <v>0</v>
      </c>
      <c r="N364" s="224">
        <f ca="1">IFERROR(__xludf.DUMMYFUNCTION("IMPORTRANGE(""https://docs.google.com/spreadsheets/d/1-uDff_7J0KD5mKrp0Vvzr7lt3OU09vwQwhkpOPPYv2Y/edit?usp=sharing"",""งบพรบ!FK24"")"),0)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581</v>
      </c>
      <c r="J365" s="302">
        <f ca="1">J371</f>
        <v>527</v>
      </c>
      <c r="K365" s="303">
        <f ca="1">IF(I365&gt;0,J365*100/I365,0)</f>
        <v>90.705679862306368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IFERROR(__xludf.DUMMYFUNCTION("IMPORTRANGE(""https://docs.google.com/spreadsheets/d/1tdoBKaGub7dwA3U6UFTqxio9LNnvDCQjHKmttSEBsFQ/edit?usp=sharing"",""จัดที่ดิน!AB24"")"),115)</f>
        <v>115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IFERROR(__xludf.DUMMYFUNCTION("IMPORTRANGE(""https://docs.google.com/spreadsheets/d/1eHaY18a8A9IcSdp1K8H6x8fbOy06t2VsZHhMHf-1x7Y/edit?usp=sharing"",""แผน!EW24"")"),630)</f>
        <v>630</v>
      </c>
      <c r="J368" s="668">
        <f ca="1">IFERROR(__xludf.DUMMYFUNCTION("IMPORTRANGE(""https://docs.google.com/spreadsheets/d/1tdoBKaGub7dwA3U6UFTqxio9LNnvDCQjHKmttSEBsFQ/edit?usp=sharing"",""จัดที่ดิน!AC24"")"),651.88)</f>
        <v>651.88</v>
      </c>
      <c r="K368" s="224">
        <f ca="1">IF(I368&gt;0,J368*100/I368,0)</f>
        <v>103.47301587301587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IFERROR(__xludf.DUMMYFUNCTION("IMPORTRANGE(""https://docs.google.com/spreadsheets/d/1eHaY18a8A9IcSdp1K8H6x8fbOy06t2VsZHhMHf-1x7Y/edit?usp=sharing"",""แผน!EX24"")"),581)</f>
        <v>581</v>
      </c>
      <c r="J369" s="184">
        <f ca="1">IFERROR(__xludf.DUMMYFUNCTION("IMPORTRANGE(""https://docs.google.com/spreadsheets/d/1tdoBKaGub7dwA3U6UFTqxio9LNnvDCQjHKmttSEBsFQ/edit?usp=sharing"",""จัดที่ดิน!AD24"")"),641)</f>
        <v>641</v>
      </c>
      <c r="K369" s="224">
        <f ca="1">IF(I369&gt;0,J369*100/I369,0)</f>
        <v>110.32702237521515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IFERROR(__xludf.DUMMYFUNCTION("IMPORTRANGE(""https://docs.google.com/spreadsheets/d/1tdoBKaGub7dwA3U6UFTqxio9LNnvDCQjHKmttSEBsFQ/edit?usp=sharing"",""จัดที่ดิน!AE24"")"),5159.63)</f>
        <v>5159.63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IFERROR(__xludf.DUMMYFUNCTION("IMPORTRANGE(""https://docs.google.com/spreadsheets/d/1eHaY18a8A9IcSdp1K8H6x8fbOy06t2VsZHhMHf-1x7Y/edit?usp=sharing"",""แผน!EY24"")"),581)</f>
        <v>581</v>
      </c>
      <c r="J371" s="184">
        <f ca="1">IFERROR(__xludf.DUMMYFUNCTION("IMPORTRANGE(""https://docs.google.com/spreadsheets/d/1tdoBKaGub7dwA3U6UFTqxio9LNnvDCQjHKmttSEBsFQ/edit?usp=sharing"",""จัดที่ดิน!AF24"")"),527)</f>
        <v>527</v>
      </c>
      <c r="K371" s="224">
        <f ca="1">IF(I371&gt;0,J371*100/I371,0)</f>
        <v>90.705679862306368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IFERROR(__xludf.DUMMYFUNCTION("IMPORTRANGE(""https://docs.google.com/spreadsheets/d/1tdoBKaGub7dwA3U6UFTqxio9LNnvDCQjHKmttSEBsFQ/edit?usp=sharing"",""จัดที่ดิน!AG24"")"),4405.9)</f>
        <v>4405.8999999999996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IFERROR(__xludf.DUMMYFUNCTION("IMPORTRANGE(""https://docs.google.com/spreadsheets/d/1-uDff_7J0KD5mKrp0Vvzr7lt3OU09vwQwhkpOPPYv2Y/edit?usp=sharing"",""งบพรบ!IE24"")"),0)</f>
        <v>0</v>
      </c>
      <c r="M380" s="224">
        <f ca="1">IFERROR(__xludf.DUMMYFUNCTION("IMPORTRANGE(""https://docs.google.com/spreadsheets/d/1-uDff_7J0KD5mKrp0Vvzr7lt3OU09vwQwhkpOPPYv2Y/edit?usp=sharing"",""งบพรบ!IJ24"")"),0)</f>
        <v>0</v>
      </c>
      <c r="N380" s="224">
        <f ca="1">IFERROR(__xludf.DUMMYFUNCTION("IMPORTRANGE(""https://docs.google.com/spreadsheets/d/1-uDff_7J0KD5mKrp0Vvzr7lt3OU09vwQwhkpOPPYv2Y/edit?usp=sharing"",""งบพรบ!IL24"")"),0)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IFERROR(__xludf.DUMMYFUNCTION("IMPORTRANGE(""https://docs.google.com/spreadsheets/d/1ItG2mGa2ceCfYo0BwxsXqNm01IGEUdYcSSLTEv9YCik/edit?usp=sharing"",""เบิกจ่ายกองทุน!BW24"")"),62500)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IFERROR(__xludf.DUMMYFUNCTION("IMPORTRANGE(""https://docs.google.com/spreadsheets/d/1ItG2mGa2ceCfYo0BwxsXqNm01IGEUdYcSSLTEv9YCik/edit?usp=sharing"",""เบิกจ่ายกองทุน!BX24"")"),62500)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IFERROR(__xludf.DUMMYFUNCTION("IMPORTRANGE(""https://docs.google.com/spreadsheets/d/1ItG2mGa2ceCfYo0BwxsXqNm01IGEUdYcSSLTEv9YCik/edit?usp=sharing"",""เบิกจ่ายกองทุน!BY24"")"),0)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IFERROR(__xludf.DUMMYFUNCTION("IMPORTRANGE(""https://docs.google.com/spreadsheets/d/1-uDff_7J0KD5mKrp0Vvzr7lt3OU09vwQwhkpOPPYv2Y/edit?usp=sharing"",""งบพรบ!IH24"")"),0)</f>
        <v>0</v>
      </c>
      <c r="M383" s="224">
        <f ca="1">IFERROR(__xludf.DUMMYFUNCTION("IMPORTRANGE(""https://docs.google.com/spreadsheets/d/1-uDff_7J0KD5mKrp0Vvzr7lt3OU09vwQwhkpOPPYv2Y/edit?usp=sharing"",""งบพรบ!IK24"")"),0)</f>
        <v>0</v>
      </c>
      <c r="N383" s="224">
        <f ca="1">IFERROR(__xludf.DUMMYFUNCTION("IMPORTRANGE(""https://docs.google.com/spreadsheets/d/1-uDff_7J0KD5mKrp0Vvzr7lt3OU09vwQwhkpOPPYv2Y/edit?usp=sharing"",""งบพรบ!IM24"")"),0)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IFERROR(__xludf.DUMMYFUNCTION("IMPORTRANGE(""https://docs.google.com/spreadsheets/d/1w5rwWK1o49a35cNtocGL0gxDwhFSTZUQu90BiH9_zqM/edit?usp=sharing"",""RTK!H24"")"),0)</f>
        <v>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IFERROR(__xludf.DUMMYFUNCTION("IMPORTRANGE(""https://docs.google.com/spreadsheets/d/1w5rwWK1o49a35cNtocGL0gxDwhFSTZUQu90BiH9_zqM/edit?usp=sharing"",""RTK!G24"")"),1000)</f>
        <v>1000</v>
      </c>
      <c r="J386" s="184">
        <f ca="1">IFERROR(__xludf.DUMMYFUNCTION("IMPORTRANGE(""https://docs.google.com/spreadsheets/d/1w5rwWK1o49a35cNtocGL0gxDwhFSTZUQu90BiH9_zqM/edit?usp=sharing"",""RTK!I24"")"),0)</f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208"/>
      <c r="B387" s="158"/>
      <c r="C387" s="158"/>
      <c r="D387" s="158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IFERROR(__xludf.DUMMYFUNCTION("IMPORTRANGE(""https://docs.google.com/spreadsheets/d/1w5rwWK1o49a35cNtocGL0gxDwhFSTZUQu90BiH9_zqM/edit?usp=sharing"",""RTK!L24"")"),0)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208"/>
      <c r="B388" s="158"/>
      <c r="C388" s="158"/>
      <c r="D388" s="158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IFERROR(__xludf.DUMMYFUNCTION("IMPORTRANGE(""https://docs.google.com/spreadsheets/d/1w5rwWK1o49a35cNtocGL0gxDwhFSTZUQu90BiH9_zqM/edit?usp=sharing"",""RTK!K24"")"),0)</f>
        <v>0</v>
      </c>
      <c r="J388" s="559">
        <f ca="1">IFERROR(__xludf.DUMMYFUNCTION("IMPORTRANGE(""https://docs.google.com/spreadsheets/d/1w5rwWK1o49a35cNtocGL0gxDwhFSTZUQu90BiH9_zqM/edit?usp=sharing"",""RTK!M24"")"),0)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IFERROR(__xludf.DUMMYFUNCTION("IMPORTRANGE(""https://docs.google.com/spreadsheets/d/1ItG2mGa2ceCfYo0BwxsXqNm01IGEUdYcSSLTEv9YCik/edit?usp=sharing"",""เบิกจ่ายกองทุน!CL24"")"),0)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IFERROR(__xludf.DUMMYFUNCTION("IMPORTRANGE(""https://docs.google.com/spreadsheets/d/1ItG2mGa2ceCfYo0BwxsXqNm01IGEUdYcSSLTEv9YCik/edit?usp=sharing"",""เบิกจ่ายกองทุน!CM24"")"),0)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IFERROR(__xludf.DUMMYFUNCTION("IMPORTRANGE(""https://docs.google.com/spreadsheets/d/1ItG2mGa2ceCfYo0BwxsXqNm01IGEUdYcSSLTEv9YCik/edit?usp=sharing"",""เบิกจ่ายกองทุน!CN24"")"),0)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6600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200530</v>
      </c>
      <c r="M413" s="547">
        <f ca="1">M414+M415</f>
        <v>200530</v>
      </c>
      <c r="N413" s="547">
        <f ca="1">N414+N415</f>
        <v>51574</v>
      </c>
      <c r="O413" s="547">
        <f ca="1">IF(L413&gt;0,N413*100/L413,0)</f>
        <v>25.718845060589437</v>
      </c>
      <c r="P413" s="547">
        <f ca="1">IF(M413&gt;0,N413*100/M413,0)</f>
        <v>25.718845060589437</v>
      </c>
      <c r="Q413" s="547">
        <f ca="1">Q414+Q415</f>
        <v>80710</v>
      </c>
      <c r="R413" s="547">
        <f ca="1">R414+R415</f>
        <v>80710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200530</v>
      </c>
      <c r="M415" s="224">
        <f ca="1">M418+M421</f>
        <v>200530</v>
      </c>
      <c r="N415" s="224">
        <f ca="1">N418+N421</f>
        <v>51574</v>
      </c>
      <c r="O415" s="224">
        <f ca="1">IF(L415&gt;0,N415*100/L415,0)</f>
        <v>25.718845060589437</v>
      </c>
      <c r="P415" s="224">
        <f ca="1">IF(M415&gt;0,N415*100/M415,0)</f>
        <v>25.718845060589437</v>
      </c>
      <c r="Q415" s="224">
        <f ca="1">Q418+Q421</f>
        <v>80710</v>
      </c>
      <c r="R415" s="224">
        <f ca="1">R418+R421</f>
        <v>80710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200530</v>
      </c>
      <c r="M416" s="224">
        <f ca="1">M417+M418</f>
        <v>200530</v>
      </c>
      <c r="N416" s="224">
        <f ca="1">N417+N418</f>
        <v>51574</v>
      </c>
      <c r="O416" s="224">
        <f ca="1">IF(L416&gt;0,N416*100/L416,0)</f>
        <v>25.718845060589437</v>
      </c>
      <c r="P416" s="224">
        <f ca="1">IF(M416&gt;0,N416*100/M416,0)</f>
        <v>25.718845060589437</v>
      </c>
      <c r="Q416" s="224">
        <f ca="1">Q417+Q418</f>
        <v>80710</v>
      </c>
      <c r="R416" s="224">
        <f ca="1">R417+R418</f>
        <v>80710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IFERROR(__xludf.DUMMYFUNCTION("IMPORTRANGE(""https://docs.google.com/spreadsheets/d/1-uDff_7J0KD5mKrp0Vvzr7lt3OU09vwQwhkpOPPYv2Y/edit?usp=sharing"",""งบพรบ!IO24"")"),200530)</f>
        <v>200530</v>
      </c>
      <c r="M418" s="224">
        <f ca="1">IFERROR(__xludf.DUMMYFUNCTION("IMPORTRANGE(""https://docs.google.com/spreadsheets/d/1-uDff_7J0KD5mKrp0Vvzr7lt3OU09vwQwhkpOPPYv2Y/edit?usp=sharing"",""งบพรบ!IT24"")"),200530)</f>
        <v>200530</v>
      </c>
      <c r="N418" s="224">
        <f ca="1">IFERROR(__xludf.DUMMYFUNCTION("IMPORTRANGE(""https://docs.google.com/spreadsheets/d/1-uDff_7J0KD5mKrp0Vvzr7lt3OU09vwQwhkpOPPYv2Y/edit?usp=sharing"",""งบพรบ!IV24"")"),51574)</f>
        <v>51574</v>
      </c>
      <c r="O418" s="224">
        <f ca="1">IF(L418&gt;0,N418*100/L418,0)</f>
        <v>25.718845060589437</v>
      </c>
      <c r="P418" s="224">
        <f ca="1">IF(M418&gt;0,N418*100/M418,0)</f>
        <v>25.718845060589437</v>
      </c>
      <c r="Q418" s="224">
        <f ca="1">IFERROR(__xludf.DUMMYFUNCTION("IMPORTRANGE(""https://docs.google.com/spreadsheets/d/1ItG2mGa2ceCfYo0BwxsXqNm01IGEUdYcSSLTEv9YCik/edit?usp=sharing"",""เบิกจ่ายกองทุน!BZ24"")"),80710)</f>
        <v>80710</v>
      </c>
      <c r="R418" s="224">
        <f ca="1">IFERROR(__xludf.DUMMYFUNCTION("IMPORTRANGE(""https://docs.google.com/spreadsheets/d/1ItG2mGa2ceCfYo0BwxsXqNm01IGEUdYcSSLTEv9YCik/edit?usp=sharing"",""เบิกจ่ายกองทุน!CA24"")"),80710)</f>
        <v>80710</v>
      </c>
      <c r="S418" s="224">
        <f ca="1">IFERROR(__xludf.DUMMYFUNCTION("IMPORTRANGE(""https://docs.google.com/spreadsheets/d/1ItG2mGa2ceCfYo0BwxsXqNm01IGEUdYcSSLTEv9YCik/edit?usp=sharing"",""เบิกจ่ายกองทุน!CB24"")"),0)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IFERROR(__xludf.DUMMYFUNCTION("IMPORTRANGE(""https://docs.google.com/spreadsheets/d/1-uDff_7J0KD5mKrp0Vvzr7lt3OU09vwQwhkpOPPYv2Y/edit?usp=sharing"",""งบพรบ!IR24"")"),0)</f>
        <v>0</v>
      </c>
      <c r="M421" s="224">
        <f ca="1">IFERROR(__xludf.DUMMYFUNCTION("IMPORTRANGE(""https://docs.google.com/spreadsheets/d/1-uDff_7J0KD5mKrp0Vvzr7lt3OU09vwQwhkpOPPYv2Y/edit?usp=sharing"",""งบพรบ!IU24"")"),0)</f>
        <v>0</v>
      </c>
      <c r="N421" s="224">
        <f ca="1">IFERROR(__xludf.DUMMYFUNCTION("IMPORTRANGE(""https://docs.google.com/spreadsheets/d/1-uDff_7J0KD5mKrp0Vvzr7lt3OU09vwQwhkpOPPYv2Y/edit?usp=sharing"",""งบพรบ!IW24"")"),0)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6600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IFERROR(__xludf.DUMMYFUNCTION("IMPORTRANGE(""https://docs.google.com/spreadsheets/d/1eHaY18a8A9IcSdp1K8H6x8fbOy06t2VsZHhMHf-1x7Y/edit?usp=sharing"",""แผน!HJ24"")"),6600)</f>
        <v>6600</v>
      </c>
      <c r="J424" s="650">
        <f>J426+J428+J430</f>
        <v>1029.93</v>
      </c>
      <c r="K424" s="547">
        <f ca="1">IF(I424&gt;0,J424*100/I424,0)</f>
        <v>15.605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IFERROR(__xludf.DUMMYFUNCTION("IMPORTRANGE(""https://docs.google.com/spreadsheets/d/1eHaY18a8A9IcSdp1K8H6x8fbOy06t2VsZHhMHf-1x7Y/edit?usp=sharing"",""แผน!HK24"")"),1404)</f>
        <v>1404</v>
      </c>
      <c r="J425" s="650">
        <f>J427+J429+J431</f>
        <v>239</v>
      </c>
      <c r="K425" s="547">
        <f ca="1">IF(I425&gt;0,J425*100/I425,0)</f>
        <v>17.022792022792022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1022.38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236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7.55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3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IFERROR(__xludf.DUMMYFUNCTION("IMPORTRANGE(""https://docs.google.com/spreadsheets/d/1eHaY18a8A9IcSdp1K8H6x8fbOy06t2VsZHhMHf-1x7Y/edit?usp=sharing"",""แผน!HJ24"")"),6600)</f>
        <v>6600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IFERROR(__xludf.DUMMYFUNCTION("IMPORTRANGE(""https://docs.google.com/spreadsheets/d/1eHaY18a8A9IcSdp1K8H6x8fbOy06t2VsZHhMHf-1x7Y/edit?usp=sharing"",""แผน!HK24"")"),1404)</f>
        <v>1404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IFERROR(__xludf.DUMMYFUNCTION("IMPORTRANGE(""https://docs.google.com/spreadsheets/d/1eHaY18a8A9IcSdp1K8H6x8fbOy06t2VsZHhMHf-1x7Y/edit?usp=sharing"",""แผน!HJ24"")"),6600)</f>
        <v>6600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IFERROR(__xludf.DUMMYFUNCTION("IMPORTRANGE(""https://docs.google.com/spreadsheets/d/1eHaY18a8A9IcSdp1K8H6x8fbOy06t2VsZHhMHf-1x7Y/edit?usp=sharing"",""แผน!HK24"")"),1404)</f>
        <v>1404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2353.6999999999998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IFERROR(__xludf.DUMMYFUNCTION("IMPORTRANGE(""https://docs.google.com/spreadsheets/d/1eHaY18a8A9IcSdp1K8H6x8fbOy06t2VsZHhMHf-1x7Y/edit?usp=sharing"",""แผน!HL24"")"),2353.7)</f>
        <v>2353.6999999999998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IFERROR(__xludf.DUMMYFUNCTION("IMPORTRANGE(""https://docs.google.com/spreadsheets/d/1eHaY18a8A9IcSdp1K8H6x8fbOy06t2VsZHhMHf-1x7Y/edit?usp=sharing"",""แผน!HM24"")"),224)</f>
        <v>224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IFERROR(__xludf.DUMMYFUNCTION("IMPORTRANGE(""https://docs.google.com/spreadsheets/d/1eHaY18a8A9IcSdp1K8H6x8fbOy06t2VsZHhMHf-1x7Y/edit?usp=sharing"",""แผน!HO24"")"),104)</f>
        <v>104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IFERROR(__xludf.DUMMYFUNCTION("IMPORTRANGE(""https://docs.google.com/spreadsheets/d/1eHaY18a8A9IcSdp1K8H6x8fbOy06t2VsZHhMHf-1x7Y/edit?usp=sharing"",""แผน!HN24"")"),13)</f>
        <v>13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IFERROR(__xludf.DUMMYFUNCTION("IMPORTRANGE(""https://docs.google.com/spreadsheets/d/1-uDff_7J0KD5mKrp0Vvzr7lt3OU09vwQwhkpOPPYv2Y/edit?usp=sharing"",""งบพรบ!HU24"")"),0)</f>
        <v>0</v>
      </c>
      <c r="M498" s="224">
        <f ca="1">IFERROR(__xludf.DUMMYFUNCTION("IMPORTRANGE(""https://docs.google.com/spreadsheets/d/1-uDff_7J0KD5mKrp0Vvzr7lt3OU09vwQwhkpOPPYv2Y/edit?usp=sharing"",""งบพรบ!HZ24"")"),0)</f>
        <v>0</v>
      </c>
      <c r="N498" s="224">
        <f ca="1">IFERROR(__xludf.DUMMYFUNCTION("IMPORTRANGE(""https://docs.google.com/spreadsheets/d/1-uDff_7J0KD5mKrp0Vvzr7lt3OU09vwQwhkpOPPYv2Y/edit?usp=sharing"",""งบพรบ!IB24"")"),0)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IFERROR(__xludf.DUMMYFUNCTION("IMPORTRANGE(""https://docs.google.com/spreadsheets/d/1ItG2mGa2ceCfYo0BwxsXqNm01IGEUdYcSSLTEv9YCik/edit?usp=sharing"",""เบิกจ่ายกองทุน!AF24"")"),0)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IFERROR(__xludf.DUMMYFUNCTION("IMPORTRANGE(""https://docs.google.com/spreadsheets/d/1-uDff_7J0KD5mKrp0Vvzr7lt3OU09vwQwhkpOPPYv2Y/edit?usp=sharing"",""งบพรบ!HX24"")"),0)</f>
        <v>0</v>
      </c>
      <c r="M501" s="224">
        <f ca="1">IFERROR(__xludf.DUMMYFUNCTION("IMPORTRANGE(""https://docs.google.com/spreadsheets/d/1-uDff_7J0KD5mKrp0Vvzr7lt3OU09vwQwhkpOPPYv2Y/edit?usp=sharing"",""งบพรบ!IA24"")"),0)</f>
        <v>0</v>
      </c>
      <c r="N501" s="224">
        <f ca="1">IFERROR(__xludf.DUMMYFUNCTION("IMPORTRANGE(""https://docs.google.com/spreadsheets/d/1-uDff_7J0KD5mKrp0Vvzr7lt3OU09vwQwhkpOPPYv2Y/edit?usp=sharing"",""งบพรบ!IC24"")"),0)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IFERROR(__xludf.DUMMYFUNCTION("IMPORTRANGE(""https://docs.google.com/spreadsheets/d/1eHaY18a8A9IcSdp1K8H6x8fbOy06t2VsZHhMHf-1x7Y/edit?usp=sharing"",""แผน!GX24"")"),0)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IFERROR(__xludf.DUMMYFUNCTION("IMPORTRANGE(""https://docs.google.com/spreadsheets/d/1eHaY18a8A9IcSdp1K8H6x8fbOy06t2VsZHhMHf-1x7Y/edit?usp=sharing"",""แผน!GY24"")"),0)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IFERROR(__xludf.DUMMYFUNCTION("IMPORTRANGE(""https://docs.google.com/spreadsheets/d/1eHaY18a8A9IcSdp1K8H6x8fbOy06t2VsZHhMHf-1x7Y/edit?usp=sharing"",""แผน!GZ24"")"),0)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IFERROR(__xludf.DUMMYFUNCTION("IMPORTRANGE(""https://docs.google.com/spreadsheets/d/1eHaY18a8A9IcSdp1K8H6x8fbOy06t2VsZHhMHf-1x7Y/edit?usp=sharing"",""แผน!HA24"")"),0)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IFERROR(__xludf.DUMMYFUNCTION("IMPORTRANGE(""https://docs.google.com/spreadsheets/d/1eHaY18a8A9IcSdp1K8H6x8fbOy06t2VsZHhMHf-1x7Y/edit?usp=sharing"",""แผน!HB24"")"),0)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IFERROR(__xludf.DUMMYFUNCTION("IMPORTRANGE(""https://docs.google.com/spreadsheets/d/1eHaY18a8A9IcSdp1K8H6x8fbOy06t2VsZHhMHf-1x7Y/edit?usp=sharing"",""แผน!HC24"")"),0)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IFERROR(__xludf.DUMMYFUNCTION("IMPORTRANGE(""https://docs.google.com/spreadsheets/d/1-uDff_7J0KD5mKrp0Vvzr7lt3OU09vwQwhkpOPPYv2Y/edit?usp=sharing"",""งบพรบ!FM24"")"),0)</f>
        <v>0</v>
      </c>
      <c r="M518" s="224">
        <f ca="1">IFERROR(__xludf.DUMMYFUNCTION("IMPORTRANGE(""https://docs.google.com/spreadsheets/d/1-uDff_7J0KD5mKrp0Vvzr7lt3OU09vwQwhkpOPPYv2Y/edit?usp=sharing"",""งบพรบ!FR24"")"),0)</f>
        <v>0</v>
      </c>
      <c r="N518" s="224">
        <f ca="1">IFERROR(__xludf.DUMMYFUNCTION("IMPORTRANGE(""https://docs.google.com/spreadsheets/d/1-uDff_7J0KD5mKrp0Vvzr7lt3OU09vwQwhkpOPPYv2Y/edit?usp=sharing"",""งบพรบ!FT24"")"),0)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IFERROR(__xludf.DUMMYFUNCTION("IMPORTRANGE(""https://docs.google.com/spreadsheets/d/1-uDff_7J0KD5mKrp0Vvzr7lt3OU09vwQwhkpOPPYv2Y/edit?usp=sharing"",""งบพรบ!FP24"")"),0)</f>
        <v>0</v>
      </c>
      <c r="M521" s="224">
        <f ca="1">IFERROR(__xludf.DUMMYFUNCTION("IMPORTRANGE(""https://docs.google.com/spreadsheets/d/1-uDff_7J0KD5mKrp0Vvzr7lt3OU09vwQwhkpOPPYv2Y/edit?usp=sharing"",""งบพรบ!FS24"")"),0)</f>
        <v>0</v>
      </c>
      <c r="N521" s="224">
        <f ca="1">IFERROR(__xludf.DUMMYFUNCTION("IMPORTRANGE(""https://docs.google.com/spreadsheets/d/1-uDff_7J0KD5mKrp0Vvzr7lt3OU09vwQwhkpOPPYv2Y/edit?usp=sharing"",""งบพรบ!FU24"")"),0)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IFERROR(__xludf.DUMMYFUNCTION("IMPORTRANGE(""https://docs.google.com/spreadsheets/d/1-uDff_7J0KD5mKrp0Vvzr7lt3OU09vwQwhkpOPPYv2Y/edit?usp=sharing"",""งบพรบ!FW24"")"),0)</f>
        <v>0</v>
      </c>
      <c r="M539" s="224">
        <f ca="1">IFERROR(__xludf.DUMMYFUNCTION("IMPORTRANGE(""https://docs.google.com/spreadsheets/d/1-uDff_7J0KD5mKrp0Vvzr7lt3OU09vwQwhkpOPPYv2Y/edit?usp=sharing"",""งบพรบ!GB24"")"),0)</f>
        <v>0</v>
      </c>
      <c r="N539" s="224">
        <f ca="1">IFERROR(__xludf.DUMMYFUNCTION("IMPORTRANGE(""https://docs.google.com/spreadsheets/d/1-uDff_7J0KD5mKrp0Vvzr7lt3OU09vwQwhkpOPPYv2Y/edit?usp=sharing"",""งบพรบ!GD24"")"),0)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IFERROR(__xludf.DUMMYFUNCTION("IMPORTRANGE(""https://docs.google.com/spreadsheets/d/1-uDff_7J0KD5mKrp0Vvzr7lt3OU09vwQwhkpOPPYv2Y/edit?usp=sharing"",""งบพรบ!FZ24"")"),0)</f>
        <v>0</v>
      </c>
      <c r="M542" s="224">
        <f ca="1">IFERROR(__xludf.DUMMYFUNCTION("IMPORTRANGE(""https://docs.google.com/spreadsheets/d/1-uDff_7J0KD5mKrp0Vvzr7lt3OU09vwQwhkpOPPYv2Y/edit?usp=sharing"",""งบพรบ!GC24"")"),0)</f>
        <v>0</v>
      </c>
      <c r="N542" s="224">
        <f ca="1">IFERROR(__xludf.DUMMYFUNCTION("IMPORTRANGE(""https://docs.google.com/spreadsheets/d/1-uDff_7J0KD5mKrp0Vvzr7lt3OU09vwQwhkpOPPYv2Y/edit?usp=sharing"",""งบพรบ!GE24"")"),0)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IFERROR(__xludf.DUMMYFUNCTION("IMPORTRANGE(""https://docs.google.com/spreadsheets/d/1-uDff_7J0KD5mKrp0Vvzr7lt3OU09vwQwhkpOPPYv2Y/edit?usp=sharing"",""งบพรบ!GG24"")"),0)</f>
        <v>0</v>
      </c>
      <c r="M560" s="224">
        <f ca="1">IFERROR(__xludf.DUMMYFUNCTION("IMPORTRANGE(""https://docs.google.com/spreadsheets/d/1-uDff_7J0KD5mKrp0Vvzr7lt3OU09vwQwhkpOPPYv2Y/edit?usp=sharing"",""งบพรบ!GL24"")"),0)</f>
        <v>0</v>
      </c>
      <c r="N560" s="224">
        <f ca="1">IFERROR(__xludf.DUMMYFUNCTION("IMPORTRANGE(""https://docs.google.com/spreadsheets/d/1-uDff_7J0KD5mKrp0Vvzr7lt3OU09vwQwhkpOPPYv2Y/edit?usp=sharing"",""งบพรบ!GN24"")"),0)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IFERROR(__xludf.DUMMYFUNCTION("IMPORTRANGE(""https://docs.google.com/spreadsheets/d/1-uDff_7J0KD5mKrp0Vvzr7lt3OU09vwQwhkpOPPYv2Y/edit?usp=sharing"",""งบพรบ!GJ24"")"),0)</f>
        <v>0</v>
      </c>
      <c r="M563" s="224">
        <f ca="1">IFERROR(__xludf.DUMMYFUNCTION("IMPORTRANGE(""https://docs.google.com/spreadsheets/d/1-uDff_7J0KD5mKrp0Vvzr7lt3OU09vwQwhkpOPPYv2Y/edit?usp=sharing"",""งบพรบ!GM24"")"),0)</f>
        <v>0</v>
      </c>
      <c r="N563" s="224">
        <f ca="1">IFERROR(__xludf.DUMMYFUNCTION("IMPORTRANGE(""https://docs.google.com/spreadsheets/d/1-uDff_7J0KD5mKrp0Vvzr7lt3OU09vwQwhkpOPPYv2Y/edit?usp=sharing"",""งบพรบ!GO24"")"),0)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9</v>
      </c>
      <c r="J575" s="365">
        <f>J587</f>
        <v>9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475911</v>
      </c>
      <c r="M576" s="547">
        <f ca="1">M577+M578</f>
        <v>475911</v>
      </c>
      <c r="N576" s="547">
        <f ca="1">N577+N578</f>
        <v>416480</v>
      </c>
      <c r="O576" s="547">
        <f ca="1">IF(L576&gt;0,N576*100/L576,0)</f>
        <v>87.512160887224709</v>
      </c>
      <c r="P576" s="547">
        <f ca="1">IF(M576&gt;0,N576*100/M576,0)</f>
        <v>87.512160887224709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475911</v>
      </c>
      <c r="M578" s="224">
        <f ca="1">M581+M584</f>
        <v>475911</v>
      </c>
      <c r="N578" s="224">
        <f ca="1">N581+N584</f>
        <v>416480</v>
      </c>
      <c r="O578" s="224">
        <f ca="1">IF(L578&gt;0,N578*100/L578,0)</f>
        <v>87.512160887224709</v>
      </c>
      <c r="P578" s="224">
        <f ca="1">IF(M578&gt;0,N578*100/M578,0)</f>
        <v>87.512160887224709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475911</v>
      </c>
      <c r="M579" s="224">
        <f ca="1">M580+M581</f>
        <v>475911</v>
      </c>
      <c r="N579" s="224">
        <f ca="1">N580+N581</f>
        <v>416480</v>
      </c>
      <c r="O579" s="224">
        <f ca="1">IF(L579&gt;0,N579*100/L579,0)</f>
        <v>87.512160887224709</v>
      </c>
      <c r="P579" s="224">
        <f ca="1">IF(M579&gt;0,N579*100/M579,0)</f>
        <v>87.512160887224709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IFERROR(__xludf.DUMMYFUNCTION("IMPORTRANGE(""https://docs.google.com/spreadsheets/d/1-uDff_7J0KD5mKrp0Vvzr7lt3OU09vwQwhkpOPPYv2Y/edit?usp=sharing"",""งบพรบ!GQ24"")"),475911)</f>
        <v>475911</v>
      </c>
      <c r="M581" s="224">
        <f ca="1">IFERROR(__xludf.DUMMYFUNCTION("IMPORTRANGE(""https://docs.google.com/spreadsheets/d/1-uDff_7J0KD5mKrp0Vvzr7lt3OU09vwQwhkpOPPYv2Y/edit?usp=sharing"",""งบพรบ!GV24"")"),475911)</f>
        <v>475911</v>
      </c>
      <c r="N581" s="224">
        <f ca="1">IFERROR(__xludf.DUMMYFUNCTION("IMPORTRANGE(""https://docs.google.com/spreadsheets/d/1-uDff_7J0KD5mKrp0Vvzr7lt3OU09vwQwhkpOPPYv2Y/edit?usp=sharing"",""งบพรบ!GX24"")"),416480)</f>
        <v>416480</v>
      </c>
      <c r="O581" s="224">
        <f ca="1">IF(L581&gt;0,N581*100/L581,0)</f>
        <v>87.512160887224709</v>
      </c>
      <c r="P581" s="224">
        <f ca="1">IF(M581&gt;0,N581*100/M581,0)</f>
        <v>87.512160887224709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IFERROR(__xludf.DUMMYFUNCTION("IMPORTRANGE(""https://docs.google.com/spreadsheets/d/1-uDff_7J0KD5mKrp0Vvzr7lt3OU09vwQwhkpOPPYv2Y/edit?usp=sharing"",""งบพรบ!GT24"")"),0)</f>
        <v>0</v>
      </c>
      <c r="M584" s="224">
        <f ca="1">IFERROR(__xludf.DUMMYFUNCTION("IMPORTRANGE(""https://docs.google.com/spreadsheets/d/1-uDff_7J0KD5mKrp0Vvzr7lt3OU09vwQwhkpOPPYv2Y/edit?usp=sharing"",""งบพรบ!GW24"")"),0)</f>
        <v>0</v>
      </c>
      <c r="N584" s="224">
        <f ca="1">IFERROR(__xludf.DUMMYFUNCTION("IMPORTRANGE(""https://docs.google.com/spreadsheets/d/1-uDff_7J0KD5mKrp0Vvzr7lt3OU09vwQwhkpOPPYv2Y/edit?usp=sharing"",""งบพรบ!GY24"")"),0)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3</v>
      </c>
      <c r="K586" s="376">
        <f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9</v>
      </c>
      <c r="J587" s="380">
        <v>9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9480</v>
      </c>
      <c r="M599" s="715">
        <f ca="1">M600+M601</f>
        <v>9480</v>
      </c>
      <c r="N599" s="715">
        <f ca="1">N600+N601</f>
        <v>1360</v>
      </c>
      <c r="O599" s="715">
        <f ca="1">IF(L599&gt;0,N599*100/L599,0)</f>
        <v>14.345991561181435</v>
      </c>
      <c r="P599" s="715">
        <f ca="1">IF(M599&gt;0,N599*100/M599,0)</f>
        <v>14.345991561181435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9480</v>
      </c>
      <c r="M601" s="558">
        <f ca="1">M604+M607</f>
        <v>9480</v>
      </c>
      <c r="N601" s="558">
        <f ca="1">N604+N607</f>
        <v>1360</v>
      </c>
      <c r="O601" s="558">
        <f ca="1">IF(L601&gt;0,N601*100/L601,0)</f>
        <v>14.345991561181435</v>
      </c>
      <c r="P601" s="558">
        <f ca="1">IF(M601&gt;0,N601*100/M601,0)</f>
        <v>14.345991561181435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9480</v>
      </c>
      <c r="M602" s="558">
        <f ca="1">M603+M604</f>
        <v>9480</v>
      </c>
      <c r="N602" s="558">
        <f ca="1">N603+N604</f>
        <v>1360</v>
      </c>
      <c r="O602" s="558">
        <f ca="1">IF(L602&gt;0,N602*100/L602,0)</f>
        <v>14.345991561181435</v>
      </c>
      <c r="P602" s="558">
        <f ca="1">IF(M602&gt;0,N602*100/M602,0)</f>
        <v>14.345991561181435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IFERROR(__xludf.DUMMYFUNCTION("IMPORTRANGE(""https://docs.google.com/spreadsheets/d/1-uDff_7J0KD5mKrp0Vvzr7lt3OU09vwQwhkpOPPYv2Y/edit?usp=sharing"",""งบพรบ!HK24"")"),9480)</f>
        <v>9480</v>
      </c>
      <c r="M604" s="558">
        <f ca="1">IFERROR(__xludf.DUMMYFUNCTION("IMPORTRANGE(""https://docs.google.com/spreadsheets/d/1-uDff_7J0KD5mKrp0Vvzr7lt3OU09vwQwhkpOPPYv2Y/edit?usp=sharing"",""งบพรบ!HP24"")"),9480)</f>
        <v>9480</v>
      </c>
      <c r="N604" s="558">
        <f ca="1">IFERROR(__xludf.DUMMYFUNCTION("IMPORTRANGE(""https://docs.google.com/spreadsheets/d/1-uDff_7J0KD5mKrp0Vvzr7lt3OU09vwQwhkpOPPYv2Y/edit?usp=sharing"",""งบพรบ!HR24"")"),1360)</f>
        <v>1360</v>
      </c>
      <c r="O604" s="558">
        <f ca="1">IF(L604&gt;0,N604*100/L604,0)</f>
        <v>14.345991561181435</v>
      </c>
      <c r="P604" s="558">
        <f ca="1">IF(M604&gt;0,N604*100/M604,0)</f>
        <v>14.345991561181435</v>
      </c>
      <c r="Q604" s="558">
        <f ca="1">IFERROR(__xludf.DUMMYFUNCTION("IMPORTRANGE(""https://docs.google.com/spreadsheets/d/1ItG2mGa2ceCfYo0BwxsXqNm01IGEUdYcSSLTEv9YCik/edit?usp=sharing"",""เบิกจ่ายกองทุน!AV24"")"),0)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IFERROR(__xludf.DUMMYFUNCTION("IMPORTRANGE(""https://docs.google.com/spreadsheets/d/1ItG2mGa2ceCfYo0BwxsXqNm01IGEUdYcSSLTEv9YCik/edit?usp=sharing"",""เบิกจ่ายกองทุน!AW24"")"),0)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IFERROR(__xludf.DUMMYFUNCTION("IMPORTRANGE(""https://docs.google.com/spreadsheets/d/1ItG2mGa2ceCfYo0BwxsXqNm01IGEUdYcSSLTEv9YCik/edit?usp=sharing"",""เบิกจ่ายกองทุน!AX24"")"),0)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IFERROR(__xludf.DUMMYFUNCTION("IMPORTRANGE(""https://docs.google.com/spreadsheets/d/1-uDff_7J0KD5mKrp0Vvzr7lt3OU09vwQwhkpOPPYv2Y/edit?usp=sharing"",""งบพรบ!HN24"")"),0)</f>
        <v>0</v>
      </c>
      <c r="M607" s="558">
        <f ca="1">IFERROR(__xludf.DUMMYFUNCTION("IMPORTRANGE(""https://docs.google.com/spreadsheets/d/1-uDff_7J0KD5mKrp0Vvzr7lt3OU09vwQwhkpOPPYv2Y/edit?usp=sharing"",""งบพรบ!HQ24"")"),0)</f>
        <v>0</v>
      </c>
      <c r="N607" s="558">
        <f ca="1">IFERROR(__xludf.DUMMYFUNCTION("IMPORTRANGE(""https://docs.google.com/spreadsheets/d/1-uDff_7J0KD5mKrp0Vvzr7lt3OU09vwQwhkpOPPYv2Y/edit?usp=sharing"",""งบพรบ!HS24"")"),0)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IFERROR(__xludf.DUMMYFUNCTION("IMPORTRANGE(""https://docs.google.com/spreadsheets/d/1ItG2mGa2ceCfYo0BwxsXqNm01IGEUdYcSSLTEv9YCik/edit?usp=sharing"",""เบิกจ่ายกองทุน!AY24"")"),0)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IFERROR(__xludf.DUMMYFUNCTION("IMPORTRANGE(""https://docs.google.com/spreadsheets/d/1ItG2mGa2ceCfYo0BwxsXqNm01IGEUdYcSSLTEv9YCik/edit?usp=sharing"",""เบิกจ่ายกองทุน!AZ24"")"),0)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IFERROR(__xludf.DUMMYFUNCTION("IMPORTRANGE(""https://docs.google.com/spreadsheets/d/1ItG2mGa2ceCfYo0BwxsXqNm01IGEUdYcSSLTEv9YCik/edit?usp=sharing"",""เบิกจ่ายกองทุน!BA24"")"),0)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x14ac:dyDescent="0.3">
      <c r="A608" s="421"/>
      <c r="B608" s="422"/>
      <c r="C608" s="374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7300</v>
      </c>
      <c r="R616" s="547">
        <f ca="1">R617+R618</f>
        <v>7300</v>
      </c>
      <c r="S616" s="547">
        <f ca="1">S617+S618</f>
        <v>1161</v>
      </c>
      <c r="T616" s="547">
        <f ca="1">IF(Q616&gt;0,S616*100/Q616,0)</f>
        <v>15.904109589041095</v>
      </c>
      <c r="U616" s="547">
        <f ca="1">IF(R616&gt;0,S616*100/R616,0)</f>
        <v>15.904109589041095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7300</v>
      </c>
      <c r="R618" s="224">
        <f ca="1">R621+R624</f>
        <v>7300</v>
      </c>
      <c r="S618" s="224">
        <f ca="1">S621+S624</f>
        <v>1161</v>
      </c>
      <c r="T618" s="224">
        <f ca="1">IF(Q618&gt;0,S618*100/Q618,0)</f>
        <v>15.904109589041095</v>
      </c>
      <c r="U618" s="224">
        <f ca="1">IF(R618&gt;0,S618*100/R618,0)</f>
        <v>15.904109589041095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7300</v>
      </c>
      <c r="R619" s="224">
        <f ca="1">R620+R621</f>
        <v>7300</v>
      </c>
      <c r="S619" s="224">
        <f ca="1">S620+S621</f>
        <v>1161</v>
      </c>
      <c r="T619" s="224">
        <f ca="1">IF(Q619&gt;0,S619*100/Q619,0)</f>
        <v>15.904109589041095</v>
      </c>
      <c r="U619" s="224">
        <f ca="1">IF(R619&gt;0,S619*100/R619,0)</f>
        <v>15.904109589041095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IFERROR(__xludf.DUMMYFUNCTION("IMPORTRANGE(""https://docs.google.com/spreadsheets/d/1ItG2mGa2ceCfYo0BwxsXqNm01IGEUdYcSSLTEv9YCik/edit?usp=sharing"",""เบิกจ่ายกองทุน!F24"")"),7300)</f>
        <v>7300</v>
      </c>
      <c r="R621" s="224">
        <f ca="1">IFERROR(__xludf.DUMMYFUNCTION("IMPORTRANGE(""https://docs.google.com/spreadsheets/d/1ItG2mGa2ceCfYo0BwxsXqNm01IGEUdYcSSLTEv9YCik/edit?usp=sharing"",""เบิกจ่ายกองทุน!G24"")"),7300)</f>
        <v>7300</v>
      </c>
      <c r="S621" s="224">
        <f ca="1">IFERROR(__xludf.DUMMYFUNCTION("IMPORTRANGE(""https://docs.google.com/spreadsheets/d/1ItG2mGa2ceCfYo0BwxsXqNm01IGEUdYcSSLTEv9YCik/edit?usp=sharing"",""เบิกจ่ายกองทุน!H24"")"),1161)</f>
        <v>1161</v>
      </c>
      <c r="T621" s="224">
        <f ca="1">IF(Q621&gt;0,S621*100/Q621,0)</f>
        <v>15.904109589041095</v>
      </c>
      <c r="U621" s="224">
        <f ca="1">IF(R621&gt;0,S621*100/R621,0)</f>
        <v>15.904109589041095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IFERROR(__xludf.DUMMYFUNCTION("IMPORTRANGE(""https://docs.google.com/spreadsheets/d/1eHaY18a8A9IcSdp1K8H6x8fbOy06t2VsZHhMHf-1x7Y/edit?usp=sharing"",""แผน!ID24"")"),50)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IFERROR(__xludf.DUMMYFUNCTION("IMPORTRANGE(""https://docs.google.com/spreadsheets/d/1eHaY18a8A9IcSdp1K8H6x8fbOy06t2VsZHhMHf-1x7Y/edit?usp=sharing"",""แผน!IC24"")"),1)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IFERROR(__xludf.DUMMYFUNCTION("IMPORTRANGE(""https://docs.google.com/spreadsheets/d/1eHaY18a8A9IcSdp1K8H6x8fbOy06t2VsZHhMHf-1x7Y/edit?usp=sharing"",""แผน!IC24"")"),1)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IFERROR(__xludf.DUMMYFUNCTION("IMPORTRANGE(""https://docs.google.com/spreadsheets/d/1eHaY18a8A9IcSdp1K8H6x8fbOy06t2VsZHhMHf-1x7Y/edit?usp=sharing"",""แผน!IE24"")"),0)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IFERROR(__xludf.DUMMYFUNCTION("IMPORTRANGE(""https://docs.google.com/spreadsheets/d/1ItG2mGa2ceCfYo0BwxsXqNm01IGEUdYcSSLTEv9YCik/edit?usp=sharing"",""เบิกจ่ายกองทุน!I24"")"),0)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IFERROR(__xludf.DUMMYFUNCTION("IMPORTRANGE(""https://docs.google.com/spreadsheets/d/1ItG2mGa2ceCfYo0BwxsXqNm01IGEUdYcSSLTEv9YCik/edit?usp=sharing"",""เบิกจ่ายกองทุน!J24"")"),0)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IFERROR(__xludf.DUMMYFUNCTION("IMPORTRANGE(""https://docs.google.com/spreadsheets/d/1ItG2mGa2ceCfYo0BwxsXqNm01IGEUdYcSSLTEv9YCik/edit?usp=sharing"",""เบิกจ่ายกองทุน!K24"")"),0)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IFERROR(__xludf.DUMMYFUNCTION("IMPORTRANGE(""https://docs.google.com/spreadsheets/d/1eHaY18a8A9IcSdp1K8H6x8fbOy06t2VsZHhMHf-1x7Y/edit?usp=sharing"",""แผน!IF24"")"),0)</f>
        <v>0</v>
      </c>
      <c r="J652" s="184">
        <f ca="1">IFERROR(__xludf.DUMMYFUNCTION("IMPORTRANGE(""https://docs.google.com/spreadsheets/d/1tdoBKaGub7dwA3U6UFTqxio9LNnvDCQjHKmttSEBsFQ/edit?usp=sharing"",""จัดที่ดิน!AU24"")"),0)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IFERROR(__xludf.DUMMYFUNCTION("IMPORTRANGE(""https://docs.google.com/spreadsheets/d/1eHaY18a8A9IcSdp1K8H6x8fbOy06t2VsZHhMHf-1x7Y/edit?usp=sharing"",""แผน!IG24"")"),0)</f>
        <v>0</v>
      </c>
      <c r="J653" s="184">
        <f ca="1">IFERROR(__xludf.DUMMYFUNCTION("IMPORTRANGE(""https://docs.google.com/spreadsheets/d/1tdoBKaGub7dwA3U6UFTqxio9LNnvDCQjHKmttSEBsFQ/edit?usp=sharing"",""จัดที่ดิน!AW24"")"),0)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IFERROR(__xludf.DUMMYFUNCTION("IMPORTRANGE(""https://docs.google.com/spreadsheets/d/1eHaY18a8A9IcSdp1K8H6x8fbOy06t2VsZHhMHf-1x7Y/edit?usp=sharing"",""แผน!IH24"")"),0)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IFERROR(__xludf.DUMMYFUNCTION("IMPORTRANGE(""https://docs.google.com/spreadsheets/d/1eHaY18a8A9IcSdp1K8H6x8fbOy06t2VsZHhMHf-1x7Y/edit?usp=sharing"",""แผน!II24"")"),0)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IFERROR(__xludf.DUMMYFUNCTION("IMPORTRANGE(""https://docs.google.com/spreadsheets/d/1eHaY18a8A9IcSdp1K8H6x8fbOy06t2VsZHhMHf-1x7Y/edit?usp=sharing"",""แผน!IJ24"")"),0)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IFERROR(__xludf.DUMMYFUNCTION("IMPORTRANGE(""https://docs.google.com/spreadsheets/d/1eHaY18a8A9IcSdp1K8H6x8fbOy06t2VsZHhMHf-1x7Y/edit?usp=sharing"",""แผน!IK24"")"),0)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IFERROR(__xludf.DUMMYFUNCTION("IMPORTRANGE(""https://docs.google.com/spreadsheets/d/1tdoBKaGub7dwA3U6UFTqxio9LNnvDCQjHKmttSEBsFQ/edit?usp=sharing"",""จัดที่ดิน!AY24"")"),0)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IFERROR(__xludf.DUMMYFUNCTION("IMPORTRANGE(""https://docs.google.com/spreadsheets/d/1tdoBKaGub7dwA3U6UFTqxio9LNnvDCQjHKmttSEBsFQ/edit?usp=sharing"",""จัดที่ดิน!AZ24"")"),0)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IFERROR(__xludf.DUMMYFUNCTION("IMPORTRANGE(""https://docs.google.com/spreadsheets/d/1eHaY18a8A9IcSdp1K8H6x8fbOy06t2VsZHhMHf-1x7Y/edit?usp=sharing"",""แผน!IL24"")"),0)</f>
        <v>0</v>
      </c>
      <c r="J673" s="184">
        <f ca="1">IFERROR(__xludf.DUMMYFUNCTION("IMPORTRANGE(""https://docs.google.com/spreadsheets/d/1tdoBKaGub7dwA3U6UFTqxio9LNnvDCQjHKmttSEBsFQ/edit?usp=sharing"",""จัดที่ดิน!BA24"")"),0)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IFERROR(__xludf.DUMMYFUNCTION("IMPORTRANGE(""https://docs.google.com/spreadsheets/d/1eHaY18a8A9IcSdp1K8H6x8fbOy06t2VsZHhMHf-1x7Y/edit?usp=sharing"",""แผน!IM24"")"),0)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IFERROR(__xludf.DUMMYFUNCTION("IMPORTRANGE(""https://docs.google.com/spreadsheets/d/1eHaY18a8A9IcSdp1K8H6x8fbOy06t2VsZHhMHf-1x7Y/edit?usp=sharing"",""แผน!IN24"")"),0)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IFERROR(__xludf.DUMMYFUNCTION("IMPORTRANGE(""https://docs.google.com/spreadsheets/d/1eHaY18a8A9IcSdp1K8H6x8fbOy06t2VsZHhMHf-1x7Y/edit?usp=sharing"",""แผน!IO24"")"),0)</f>
        <v>0</v>
      </c>
      <c r="J676" s="184">
        <f ca="1">IFERROR(__xludf.DUMMYFUNCTION("IMPORTRANGE(""https://docs.google.com/spreadsheets/d/1tdoBKaGub7dwA3U6UFTqxio9LNnvDCQjHKmttSEBsFQ/edit?usp=sharing"",""จัดที่ดิน!BF24"")"),0)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IFERROR(__xludf.DUMMYFUNCTION("IMPORTRANGE(""https://docs.google.com/spreadsheets/d/1tdoBKaGub7dwA3U6UFTqxio9LNnvDCQjHKmttSEBsFQ/edit?usp=sharing"",""จัดที่ดิน!BG24"")"),0)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IFERROR(__xludf.DUMMYFUNCTION("IMPORTRANGE(""https://docs.google.com/spreadsheets/d/1eHaY18a8A9IcSdp1K8H6x8fbOy06t2VsZHhMHf-1x7Y/edit?usp=sharing"",""แผน!IP24"")"),0)</f>
        <v>0</v>
      </c>
      <c r="J678" s="184">
        <f ca="1">IFERROR(__xludf.DUMMYFUNCTION("IMPORTRANGE(""https://docs.google.com/spreadsheets/d/1tdoBKaGub7dwA3U6UFTqxio9LNnvDCQjHKmttSEBsFQ/edit?usp=sharing"",""จัดที่ดิน!BH24"")"),0)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IFERROR(__xludf.DUMMYFUNCTION("IMPORTRANGE(""https://docs.google.com/spreadsheets/d/1eHaY18a8A9IcSdp1K8H6x8fbOy06t2VsZHhMHf-1x7Y/edit?usp=sharing"",""แผน!IQ24"")"),0)</f>
        <v>0</v>
      </c>
      <c r="J679" s="184">
        <f ca="1">IFERROR(__xludf.DUMMYFUNCTION("IMPORTRANGE(""https://docs.google.com/spreadsheets/d/1tdoBKaGub7dwA3U6UFTqxio9LNnvDCQjHKmttSEBsFQ/edit?usp=sharing"",""จัดที่ดิน!BK24"")"),0)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IFERROR(__xludf.DUMMYFUNCTION("IMPORTRANGE(""https://docs.google.com/spreadsheets/d/1tdoBKaGub7dwA3U6UFTqxio9LNnvDCQjHKmttSEBsFQ/edit?usp=sharing"",""จัดที่ดิน!BL24"")"),0)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IFERROR(__xludf.DUMMYFUNCTION("IMPORTRANGE(""https://docs.google.com/spreadsheets/d/1eHaY18a8A9IcSdp1K8H6x8fbOy06t2VsZHhMHf-1x7Y/edit?usp=sharing"",""แผน!IR24"")"),0)</f>
        <v>0</v>
      </c>
      <c r="J681" s="184">
        <f ca="1">IFERROR(__xludf.DUMMYFUNCTION("IMPORTRANGE(""https://docs.google.com/spreadsheets/d/1tdoBKaGub7dwA3U6UFTqxio9LNnvDCQjHKmttSEBsFQ/edit?usp=sharing"",""จัดที่ดิน!BM24"")"),0)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IFERROR(__xludf.DUMMYFUNCTION("IMPORTRANGE(""https://docs.google.com/spreadsheets/d/1eHaY18a8A9IcSdp1K8H6x8fbOy06t2VsZHhMHf-1x7Y/edit?usp=sharing"",""แผน!IS24"")"),0)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52</v>
      </c>
      <c r="J689" s="552">
        <f ca="1">J707</f>
        <v>20</v>
      </c>
      <c r="K689" s="551">
        <f ca="1">IF(I689&gt;0,J689*100/I689,0)</f>
        <v>38.46153846153846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144340</v>
      </c>
      <c r="R690" s="547">
        <f ca="1">R691+R692</f>
        <v>144340</v>
      </c>
      <c r="S690" s="547">
        <f ca="1">S691+S692</f>
        <v>41780</v>
      </c>
      <c r="T690" s="547">
        <f ca="1">IF(Q690&gt;0,S690*100/Q690,0)</f>
        <v>28.945545240404599</v>
      </c>
      <c r="U690" s="547">
        <f ca="1">IF(R690&gt;0,S690*100/R690,0)</f>
        <v>28.945545240404599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144340</v>
      </c>
      <c r="R692" s="224">
        <f ca="1">R695+R698</f>
        <v>144340</v>
      </c>
      <c r="S692" s="224">
        <f ca="1">S695+S698</f>
        <v>41780</v>
      </c>
      <c r="T692" s="224">
        <f ca="1">IF(Q692&gt;0,S692*100/Q692,0)</f>
        <v>28.945545240404599</v>
      </c>
      <c r="U692" s="224">
        <f ca="1">IF(R692&gt;0,S692*100/R692,0)</f>
        <v>28.945545240404599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144340</v>
      </c>
      <c r="R693" s="224">
        <f ca="1">R694+R695</f>
        <v>144340</v>
      </c>
      <c r="S693" s="224">
        <f ca="1">S694+S695</f>
        <v>41780</v>
      </c>
      <c r="T693" s="224">
        <f ca="1">IF(Q693&gt;0,S693*100/Q693,0)</f>
        <v>28.945545240404599</v>
      </c>
      <c r="U693" s="224">
        <f ca="1">IF(R693&gt;0,S693*100/R693,0)</f>
        <v>28.945545240404599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5" s="224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5" s="224">
        <f ca="1">IFERROR(__xludf.DUMMYFUNCTION("IMPORTRANGE(""https://docs.google.com/spreadsheets/d/1ItG2mGa2ceCfYo0BwxsXqNm01IGEUdYcSSLTEv9YCik/edit?usp=sharing"",""เบิกจ่ายกองทุน!N24"")"),41780)</f>
        <v>41780</v>
      </c>
      <c r="T695" s="224">
        <f ca="1">IF(Q695&gt;0,S695*100/Q695,0)</f>
        <v>28.945545240404599</v>
      </c>
      <c r="U695" s="224">
        <f ca="1">IF(R695&gt;0,S695*100/R695,0)</f>
        <v>28.945545240404599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IFERROR(__xludf.DUMMYFUNCTION("IMPORTRANGE(""https://docs.google.com/spreadsheets/d/1eHaY18a8A9IcSdp1K8H6x8fbOy06t2VsZHhMHf-1x7Y/edit?usp=sharing"",""แผน!LC24"")"),0)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55</v>
      </c>
      <c r="J701" s="338">
        <f ca="1">J703+J705</f>
        <v>20</v>
      </c>
      <c r="K701" s="547">
        <f ca="1">IF(I701&gt;0,J701*100/I701,0)</f>
        <v>36.363636363636367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10.06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IFERROR(__xludf.DUMMYFUNCTION("IMPORTRANGE(""https://docs.google.com/spreadsheets/d/1eHaY18a8A9IcSdp1K8H6x8fbOy06t2VsZHhMHf-1x7Y/edit?usp=sharing"",""แผน!LJ24"")"),52)</f>
        <v>52</v>
      </c>
      <c r="J703" s="184">
        <f ca="1">IFERROR(__xludf.DUMMYFUNCTION("IMPORTRANGE(""https://docs.google.com/spreadsheets/d/1tdoBKaGub7dwA3U6UFTqxio9LNnvDCQjHKmttSEBsFQ/edit?usp=sharing"",""จัดที่ดิน!AP24"")"),20)</f>
        <v>20</v>
      </c>
      <c r="K703" s="224">
        <f ca="1">IF(I703&gt;0,J703*100/I703,0)</f>
        <v>38.46153846153846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IFERROR(__xludf.DUMMYFUNCTION("IMPORTRANGE(""https://docs.google.com/spreadsheets/d/1tdoBKaGub7dwA3U6UFTqxio9LNnvDCQjHKmttSEBsFQ/edit?usp=sharing"",""จัดที่ดิน!AQ24"")"),10.06)</f>
        <v>10.06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IFERROR(__xludf.DUMMYFUNCTION("IMPORTRANGE(""https://docs.google.com/spreadsheets/d/1eHaY18a8A9IcSdp1K8H6x8fbOy06t2VsZHhMHf-1x7Y/edit?usp=sharing"",""แผน!LK24"")"),3)</f>
        <v>3</v>
      </c>
      <c r="J705" s="184">
        <f ca="1">IFERROR(__xludf.DUMMYFUNCTION("IMPORTRANGE(""https://docs.google.com/spreadsheets/d/1tdoBKaGub7dwA3U6UFTqxio9LNnvDCQjHKmttSEBsFQ/edit?usp=sharing"",""จัดที่ดิน!AR24"")"),0)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IFERROR(__xludf.DUMMYFUNCTION("IMPORTRANGE(""https://docs.google.com/spreadsheets/d/1tdoBKaGub7dwA3U6UFTqxio9LNnvDCQjHKmttSEBsFQ/edit?usp=sharing"",""จัดที่ดิน!AS24"")"),0)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IFERROR(__xludf.DUMMYFUNCTION("IMPORTRANGE(""https://docs.google.com/spreadsheets/d/1eHaY18a8A9IcSdp1K8H6x8fbOy06t2VsZHhMHf-1x7Y/edit?usp=sharing"",""แผน!LJ24"")"),52)</f>
        <v>52</v>
      </c>
      <c r="J707" s="184">
        <f ca="1">IFERROR(__xludf.DUMMYFUNCTION("IMPORTRANGE(""https://docs.google.com/spreadsheets/d/1tdoBKaGub7dwA3U6UFTqxio9LNnvDCQjHKmttSEBsFQ/edit?usp=sharing"",""จัดที่ดิน!BN24"")"),20)</f>
        <v>20</v>
      </c>
      <c r="K707" s="224">
        <f ca="1">IF(I707&gt;0,J707*100/I707,0)</f>
        <v>38.46153846153846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IFERROR(__xludf.DUMMYFUNCTION("IMPORTRANGE(""https://docs.google.com/spreadsheets/d/1tdoBKaGub7dwA3U6UFTqxio9LNnvDCQjHKmttSEBsFQ/edit?usp=sharing"",""จัดที่ดิน!BO24"")"),10)</f>
        <v>10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IFERROR(__xludf.DUMMYFUNCTION("IMPORTRANGE(""https://docs.google.com/spreadsheets/d/1eHaY18a8A9IcSdp1K8H6x8fbOy06t2VsZHhMHf-1x7Y/edit?usp=sharing"",""แผน!LK24"")"),3)</f>
        <v>3</v>
      </c>
      <c r="J709" s="184">
        <f ca="1">IFERROR(__xludf.DUMMYFUNCTION("IMPORTRANGE(""https://docs.google.com/spreadsheets/d/1tdoBKaGub7dwA3U6UFTqxio9LNnvDCQjHKmttSEBsFQ/edit?usp=sharing"",""จัดที่ดิน!BP24"")"),0)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IFERROR(__xludf.DUMMYFUNCTION("IMPORTRANGE(""https://docs.google.com/spreadsheets/d/1tdoBKaGub7dwA3U6UFTqxio9LNnvDCQjHKmttSEBsFQ/edit?usp=sharing"",""จัดที่ดิน!BQ24"")"),0)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IFERROR(__xludf.DUMMYFUNCTION("IMPORTRANGE(""https://docs.google.com/spreadsheets/d/1eHaY18a8A9IcSdp1K8H6x8fbOy06t2VsZHhMHf-1x7Y/edit?usp=sharing"",""แผน!GA24"")"),128)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IFERROR(__xludf.DUMMYFUNCTION("IMPORTRANGE(""https://docs.google.com/spreadsheets/d/1eHaY18a8A9IcSdp1K8H6x8fbOy06t2VsZHhMHf-1x7Y/edit?usp=sharing"",""แผน!FZ24"")"),1250)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279045</v>
      </c>
      <c r="T728" s="547">
        <f ca="1">IF(Q728&gt;0,S728*100/Q728,0)</f>
        <v>27.670133965313791</v>
      </c>
      <c r="U728" s="547">
        <f ca="1">IF(R728&gt;0,S728*100/R728,0)</f>
        <v>27.670133965313791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279045</v>
      </c>
      <c r="T730" s="224">
        <f ca="1">IF(Q730&gt;0,S730*100/Q730,0)</f>
        <v>27.670133965313791</v>
      </c>
      <c r="U730" s="224">
        <f ca="1">IF(R730&gt;0,S730*100/R730,0)</f>
        <v>27.670133965313791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279045</v>
      </c>
      <c r="T731" s="224">
        <f ca="1">IF(Q731&gt;0,S731*100/Q731,0)</f>
        <v>27.670133965313791</v>
      </c>
      <c r="U731" s="224">
        <f ca="1">IF(R731&gt;0,S731*100/R731,0)</f>
        <v>27.670133965313791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IFERROR(__xludf.DUMMYFUNCTION("IMPORTRANGE(""https://docs.google.com/spreadsheets/d/1ItG2mGa2ceCfYo0BwxsXqNm01IGEUdYcSSLTEv9YCik/edit?usp=sharing"",""เบิกจ่ายกองทุน!Q24"")"),279045)</f>
        <v>279045</v>
      </c>
      <c r="T733" s="224">
        <f ca="1">IF(Q733&gt;0,S733*100/Q733,0)</f>
        <v>27.670133965313791</v>
      </c>
      <c r="U733" s="224">
        <f ca="1">IF(R733&gt;0,S733*100/R733,0)</f>
        <v>27.670133965313791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IFERROR(__xludf.DUMMYFUNCTION("IMPORTRANGE(""https://docs.google.com/spreadsheets/d/1eHaY18a8A9IcSdp1K8H6x8fbOy06t2VsZHhMHf-1x7Y/edit?usp=sharing"",""แผน!GB24"")"),1000)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IFERROR(__xludf.DUMMYFUNCTION("IMPORTRANGE(""https://docs.google.com/spreadsheets/d/1eHaY18a8A9IcSdp1K8H6x8fbOy06t2VsZHhMHf-1x7Y/edit?usp=sharing"",""แผน!GC24"")"),100)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IFERROR(__xludf.DUMMYFUNCTION("IMPORTRANGE(""https://docs.google.com/spreadsheets/d/1eHaY18a8A9IcSdp1K8H6x8fbOy06t2VsZHhMHf-1x7Y/edit?usp=sharing"",""แผน!GD24"")"),250)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/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IFERROR(__xludf.DUMMYFUNCTION("IMPORTRANGE(""https://docs.google.com/spreadsheets/d/1eHaY18a8A9IcSdp1K8H6x8fbOy06t2VsZHhMHf-1x7Y/edit?usp=sharing"",""แผน!GE24"")"),25)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3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IFERROR(__xludf.DUMMYFUNCTION("IMPORTRANGE(""https://docs.google.com/spreadsheets/d/1eHaY18a8A9IcSdp1K8H6x8fbOy06t2VsZHhMHf-1x7Y/edit?usp=sharing"",""แผน!GF24"")"),3)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IFERROR(__xludf.DUMMYFUNCTION("IMPORTRANGE(""https://docs.google.com/spreadsheets/d/1eHaY18a8A9IcSdp1K8H6x8fbOy06t2VsZHhMHf-1x7Y/edit?usp=sharing"",""แผน!GB24"")"),1000)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IFERROR(__xludf.DUMMYFUNCTION("IMPORTRANGE(""https://docs.google.com/spreadsheets/d/1eHaY18a8A9IcSdp1K8H6x8fbOy06t2VsZHhMHf-1x7Y/edit?usp=sharing"",""แผน!GD24"")"),250)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70</v>
      </c>
      <c r="J758" s="552">
        <f>J772</f>
        <v>70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479400</v>
      </c>
      <c r="R760" s="547">
        <f ca="1">R761+R762</f>
        <v>479400</v>
      </c>
      <c r="S760" s="547">
        <f ca="1">S761+S762</f>
        <v>388547</v>
      </c>
      <c r="T760" s="547">
        <f ca="1">IF(Q760&gt;0,S760*100/Q760,0)</f>
        <v>81.048602419691278</v>
      </c>
      <c r="U760" s="547">
        <f ca="1">IF(R760&gt;0,S760*100/R760,0)</f>
        <v>81.048602419691278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479400</v>
      </c>
      <c r="R762" s="224">
        <f ca="1">R765+R768</f>
        <v>479400</v>
      </c>
      <c r="S762" s="224">
        <f ca="1">S765+S768</f>
        <v>388547</v>
      </c>
      <c r="T762" s="224">
        <f ca="1">IF(Q762&gt;0,S762*100/Q762,0)</f>
        <v>81.048602419691278</v>
      </c>
      <c r="U762" s="224">
        <f ca="1">IF(R762&gt;0,S762*100/R762,0)</f>
        <v>81.048602419691278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479400</v>
      </c>
      <c r="R763" s="224">
        <f ca="1">R764+R765</f>
        <v>479400</v>
      </c>
      <c r="S763" s="224">
        <f ca="1">S764+S765</f>
        <v>388547</v>
      </c>
      <c r="T763" s="224">
        <f ca="1">IF(Q763&gt;0,S763*100/Q763,0)</f>
        <v>81.048602419691278</v>
      </c>
      <c r="U763" s="224">
        <f ca="1">IF(R763&gt;0,S763*100/R763,0)</f>
        <v>81.048602419691278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IFERROR(__xludf.DUMMYFUNCTION("IMPORTRANGE(""https://docs.google.com/spreadsheets/d/1ItG2mGa2ceCfYo0BwxsXqNm01IGEUdYcSSLTEv9YCik/edit?usp=sharing"",""เบิกจ่ายกองทุน!AA24"")"),479400)</f>
        <v>479400</v>
      </c>
      <c r="R765" s="224">
        <f ca="1">IFERROR(__xludf.DUMMYFUNCTION("IMPORTRANGE(""https://docs.google.com/spreadsheets/d/1ItG2mGa2ceCfYo0BwxsXqNm01IGEUdYcSSLTEv9YCik/edit?usp=sharing"",""เบิกจ่ายกองทุน!AB24"")"),479400)</f>
        <v>479400</v>
      </c>
      <c r="S765" s="224">
        <f ca="1">IFERROR(__xludf.DUMMYFUNCTION("IMPORTRANGE(""https://docs.google.com/spreadsheets/d/1ItG2mGa2ceCfYo0BwxsXqNm01IGEUdYcSSLTEv9YCik/edit?usp=sharing"",""เบิกจ่ายกองทุน!AC24"")"),388547)</f>
        <v>388547</v>
      </c>
      <c r="T765" s="224">
        <f ca="1">IF(Q765&gt;0,S765*100/Q765,0)</f>
        <v>81.048602419691278</v>
      </c>
      <c r="U765" s="224">
        <f ca="1">IF(R765&gt;0,S765*100/R765,0)</f>
        <v>81.048602419691278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IFERROR(__xludf.DUMMYFUNCTION("IMPORTRANGE(""https://docs.google.com/spreadsheets/d/1eHaY18a8A9IcSdp1K8H6x8fbOy06t2VsZHhMHf-1x7Y/edit?usp=sharing"",""แผน!FI24"")"),2)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IFERROR(__xludf.DUMMYFUNCTION("IMPORTRANGE(""https://docs.google.com/spreadsheets/d/1eHaY18a8A9IcSdp1K8H6x8fbOy06t2VsZHhMHf-1x7Y/edit?usp=sharing"",""แผน!FQ24"")"),70)</f>
        <v>70</v>
      </c>
      <c r="J772" s="380">
        <v>70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IFERROR(__xludf.DUMMYFUNCTION("IMPORTRANGE(""https://docs.google.com/spreadsheets/d/1eHaY18a8A9IcSdp1K8H6x8fbOy06t2VsZHhMHf-1x7Y/edit?usp=sharing"",""แผน!FR24"")"),140)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IFERROR(__xludf.DUMMYFUNCTION("IMPORTRANGE(""https://docs.google.com/spreadsheets/d/1eHaY18a8A9IcSdp1K8H6x8fbOy06t2VsZHhMHf-1x7Y/edit?usp=sharing"",""แผน!FS24"")"),140)</f>
        <v>140</v>
      </c>
      <c r="J775" s="380">
        <v>140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IFERROR(__xludf.DUMMYFUNCTION("IMPORTRANGE(""https://docs.google.com/spreadsheets/d/1eHaY18a8A9IcSdp1K8H6x8fbOy06t2VsZHhMHf-1x7Y/edit?usp=sharing"",""แผน!FT24"")"),70)</f>
        <v>70</v>
      </c>
      <c r="J776" s="542">
        <v>70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IFERROR(__xludf.DUMMYFUNCTION("IMPORTRANGE(""https://docs.google.com/spreadsheets/d/10OvvATaaLtwErnr3qtWFcTmtbfpFEt5Bsqel9sXx0uE/edit?usp=sharing"",""งานกองทุน!D24"")"),3700000)</f>
        <v>3700000</v>
      </c>
      <c r="J778" s="184">
        <f ca="1">IFERROR(__xludf.DUMMYFUNCTION("IMPORTRANGE(""https://docs.google.com/spreadsheets/d/10OvvATaaLtwErnr3qtWFcTmtbfpFEt5Bsqel9sXx0uE/edit?usp=sharing"",""งานกองทุน!F24"")"),3483418.63)</f>
        <v>3483418.63</v>
      </c>
      <c r="K778" s="224">
        <f ca="1">IF(I778&gt;0,J778*100/I778,0)</f>
        <v>94.146449459459461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IFERROR(__xludf.DUMMYFUNCTION("IMPORTRANGE(""https://docs.google.com/spreadsheets/d/10OvvATaaLtwErnr3qtWFcTmtbfpFEt5Bsqel9sXx0uE/edit?usp=sharing"",""งานกองทุน!C24"")"),155)</f>
        <v>155</v>
      </c>
      <c r="J779" s="184">
        <f ca="1">IFERROR(__xludf.DUMMYFUNCTION("IMPORTRANGE(""https://docs.google.com/spreadsheets/d/10OvvATaaLtwErnr3qtWFcTmtbfpFEt5Bsqel9sXx0uE/edit?usp=sharing"",""งานกองทุน!E24"")"),150)</f>
        <v>150</v>
      </c>
      <c r="K779" s="224">
        <f ca="1">IF(I779&gt;0,J779*100/I779,0)</f>
        <v>96.774193548387103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184">
        <f ca="1">IFERROR(__xludf.DUMMYFUNCTION("IMPORTRANGE(""https://docs.google.com/spreadsheets/d/10OvvATaaLtwErnr3qtWFcTmtbfpFEt5Bsqel9sXx0uE/edit?usp=sharing"",""งานกองทุน!K24"")"),170364.68)</f>
        <v>170364.68</v>
      </c>
      <c r="K780" s="224">
        <f ca="1">IF(I780&gt;0,J780*100/I780,0)</f>
        <v>31.687814483991247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IFERROR(__xludf.DUMMYFUNCTION("IMPORTRANGE(""https://docs.google.com/spreadsheets/d/10OvvATaaLtwErnr3qtWFcTmtbfpFEt5Bsqel9sXx0uE/edit?usp=sharing"",""งานกองทุน!H24"")"),47)</f>
        <v>47</v>
      </c>
      <c r="J781" s="184">
        <f ca="1">IFERROR(__xludf.DUMMYFUNCTION("IMPORTRANGE(""https://docs.google.com/spreadsheets/d/10OvvATaaLtwErnr3qtWFcTmtbfpFEt5Bsqel9sXx0uE/edit?usp=sharing"",""งานกองทุน!J24"")"),39)</f>
        <v>39</v>
      </c>
      <c r="K781" s="224">
        <f ca="1">IF(I781&gt;0,J781*100/I781,0)</f>
        <v>82.978723404255319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IFERROR(__xludf.DUMMYFUNCTION("IMPORTRANGE(""https://docs.google.com/spreadsheets/d/10OvvATaaLtwErnr3qtWFcTmtbfpFEt5Bsqel9sXx0uE/edit?usp=sharing"",""งานกองทุน!N24"")"),0)</f>
        <v>0</v>
      </c>
      <c r="J782" s="184">
        <f ca="1">IFERROR(__xludf.DUMMYFUNCTION("IMPORTRANGE(""https://docs.google.com/spreadsheets/d/10OvvATaaLtwErnr3qtWFcTmtbfpFEt5Bsqel9sXx0uE/edit?usp=sharing"",""งานกองทุน!P24"")"),0)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IFERROR(__xludf.DUMMYFUNCTION("IMPORTRANGE(""https://docs.google.com/spreadsheets/d/10OvvATaaLtwErnr3qtWFcTmtbfpFEt5Bsqel9sXx0uE/edit?usp=sharing"",""งานกองทุน!M24"")"),0)</f>
        <v>0</v>
      </c>
      <c r="J783" s="184">
        <f ca="1">IFERROR(__xludf.DUMMYFUNCTION("IMPORTRANGE(""https://docs.google.com/spreadsheets/d/10OvvATaaLtwErnr3qtWFcTmtbfpFEt5Bsqel9sXx0uE/edit?usp=sharing"",""งานกองทุน!O24"")"),0)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IFERROR(__xludf.DUMMYFUNCTION("IMPORTRANGE(""https://docs.google.com/spreadsheets/d/10OvvATaaLtwErnr3qtWFcTmtbfpFEt5Bsqel9sXx0uE/edit?usp=sharing"",""งานกองทุน!S24"")"),4648000)</f>
        <v>4648000</v>
      </c>
      <c r="J784" s="184">
        <f ca="1">IFERROR(__xludf.DUMMYFUNCTION("IMPORTRANGE(""https://docs.google.com/spreadsheets/d/10OvvATaaLtwErnr3qtWFcTmtbfpFEt5Bsqel9sXx0uE/edit?usp=sharing"",""งานกองทุน!U24"")"),3474000)</f>
        <v>3474000</v>
      </c>
      <c r="K784" s="224">
        <f ca="1">IF(I784&gt;0,J784*100/I784,0)</f>
        <v>74.741824440619624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IFERROR(__xludf.DUMMYFUNCTION("IMPORTRANGE(""https://docs.google.com/spreadsheets/d/10OvvATaaLtwErnr3qtWFcTmtbfpFEt5Bsqel9sXx0uE/edit?usp=sharing"",""งานกองทุน!R24"")"),166)</f>
        <v>166</v>
      </c>
      <c r="J785" s="188">
        <f ca="1">IFERROR(__xludf.DUMMYFUNCTION("IMPORTRANGE(""https://docs.google.com/spreadsheets/d/10OvvATaaLtwErnr3qtWFcTmtbfpFEt5Bsqel9sXx0uE/edit?usp=sharing"",""งานกองทุน!T24"")"),144)</f>
        <v>144</v>
      </c>
      <c r="K785" s="508">
        <f ca="1">IF(I785&gt;0,J785*100/I785,0)</f>
        <v>86.746987951807228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39F-7309-4AD6-8A34-6029447B439B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339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4499542</v>
      </c>
      <c r="M18" s="755">
        <f ca="1">M19+M20</f>
        <v>4585289</v>
      </c>
      <c r="N18" s="755">
        <f ca="1">N19+N20</f>
        <v>3821974.24</v>
      </c>
      <c r="O18" s="755">
        <f ca="1">IF(L18&gt;0,N18*100/L18,0)</f>
        <v>84.941406036436604</v>
      </c>
      <c r="P18" s="755">
        <f ca="1">IF(M18&gt;0,N18*100/M18,0)</f>
        <v>83.352962921203002</v>
      </c>
      <c r="Q18" s="755">
        <f ca="1">Q19+Q20</f>
        <v>1364238.3900000001</v>
      </c>
      <c r="R18" s="755">
        <f ca="1">R19+R20</f>
        <v>1393438</v>
      </c>
      <c r="S18" s="755">
        <f ca="1">S19+S20</f>
        <v>1144205</v>
      </c>
      <c r="T18" s="755">
        <f ca="1">IF(Q18&gt;0,S18*100/Q18,0)</f>
        <v>83.871338644853694</v>
      </c>
      <c r="U18" s="755">
        <f ca="1">IF(R18&gt;0,S18*100/R18,0)</f>
        <v>82.113807718750309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4499542</v>
      </c>
      <c r="M20" s="794">
        <f ca="1">M23+M26</f>
        <v>4585289</v>
      </c>
      <c r="N20" s="794">
        <f ca="1">N23+N26</f>
        <v>3821974.24</v>
      </c>
      <c r="O20" s="794">
        <f ca="1">IF(L20&gt;0,N20*100/L20,0)</f>
        <v>84.941406036436604</v>
      </c>
      <c r="P20" s="794">
        <f ca="1">IF(M20&gt;0,N20*100/M20,0)</f>
        <v>83.352962921203002</v>
      </c>
      <c r="Q20" s="794">
        <f ca="1">Q23+Q26</f>
        <v>1364238.3900000001</v>
      </c>
      <c r="R20" s="794">
        <f ca="1">R23+R26</f>
        <v>1393438</v>
      </c>
      <c r="S20" s="794">
        <f ca="1">S23+S26</f>
        <v>1144205</v>
      </c>
      <c r="T20" s="794">
        <f ca="1">IF(Q20&gt;0,S20*100/Q20,0)</f>
        <v>83.871338644853694</v>
      </c>
      <c r="U20" s="794">
        <f ca="1">IF(R20&gt;0,S20*100/R20,0)</f>
        <v>82.113807718750309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2485142</v>
      </c>
      <c r="M21" s="224">
        <f ca="1">M22+M23</f>
        <v>2628439</v>
      </c>
      <c r="N21" s="224">
        <f ca="1">N22+N23</f>
        <v>1865124.2400000002</v>
      </c>
      <c r="O21" s="224">
        <f ca="1">IF(L21&gt;0,N21*100/L21,0)</f>
        <v>75.051012779149048</v>
      </c>
      <c r="P21" s="224">
        <f ca="1">IF(M21&gt;0,N21*100/M21,0)</f>
        <v>70.959388443102554</v>
      </c>
      <c r="Q21" s="224">
        <f ca="1">Q22+Q23</f>
        <v>1364238.3900000001</v>
      </c>
      <c r="R21" s="224">
        <f ca="1">R22+R23</f>
        <v>1393438</v>
      </c>
      <c r="S21" s="224">
        <f ca="1">S22+S23</f>
        <v>1144205</v>
      </c>
      <c r="T21" s="224">
        <f ca="1">IF(Q21&gt;0,S21*100/Q21,0)</f>
        <v>83.871338644853694</v>
      </c>
      <c r="U21" s="224">
        <f ca="1">IF(R21&gt;0,S21*100/R21,0)</f>
        <v>82.113807718750309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2485142</v>
      </c>
      <c r="M23" s="224">
        <f ca="1">M49+M64+M77+M99+M122+M144+M162+M191+M178+M271+M287+M308+M325+M338+M361+M380+M418+M498+M518+M539+M560+M581+M604+M621+M647+M695+M719+M733+M765</f>
        <v>2628439</v>
      </c>
      <c r="N23" s="224">
        <f ca="1">N49+N64+N77+N99+N122+N144+N162+N191+N178+N271+N287+N308+N325+N338+N361+N380+N418+N498+N518+N539+N560+N581+N604+N621+N647+N695+N719+N733+N765</f>
        <v>1865124.2400000002</v>
      </c>
      <c r="O23" s="224">
        <f ca="1">IF(L23&gt;0,N23*100/L23,0)</f>
        <v>75.051012779149048</v>
      </c>
      <c r="P23" s="224">
        <f ca="1">IF(M23&gt;0,N23*100/M23,0)</f>
        <v>70.959388443102554</v>
      </c>
      <c r="Q23" s="224">
        <f ca="1">Q77+Q99+Q122+Q144+Q162+Q178+Q191+Q271+Q287+Q308+Q338+Q380+Q397+Q418+Q498+Q604+Q621+Q647+Q695+Q719+Q733+Q765</f>
        <v>1364238.3900000001</v>
      </c>
      <c r="R23" s="224">
        <f ca="1">R77+R99+R122+R144+R162+R178+R191+R271+R287+R308+R338+R380+R397+R418+R498+R604+R621+R647+R695+R719+R733+R765</f>
        <v>1393438</v>
      </c>
      <c r="S23" s="224">
        <f ca="1">S77+S99+S122+S144+S162+S178+S191+S271+S287+S308+S338+S380+S397+S418+S498+S604+S621+S647+S695+S719+S733+S765</f>
        <v>1144205</v>
      </c>
      <c r="T23" s="224">
        <f ca="1">IF(Q23&gt;0,S23*100/Q23,0)</f>
        <v>83.871338644853694</v>
      </c>
      <c r="U23" s="224">
        <f ca="1">IF(R23&gt;0,S23*100/R23,0)</f>
        <v>82.113807718750309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2014400</v>
      </c>
      <c r="M24" s="224">
        <f ca="1">M25+M26</f>
        <v>1956850</v>
      </c>
      <c r="N24" s="224">
        <f ca="1">N25+N26</f>
        <v>1956850</v>
      </c>
      <c r="O24" s="224">
        <f ca="1">IF(L24&gt;0,N24*100/L24,0)</f>
        <v>97.143069896743441</v>
      </c>
      <c r="P24" s="224">
        <f ca="1">IF(M24&gt;0,N24*100/M24,0)</f>
        <v>100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2014400</v>
      </c>
      <c r="M26" s="224">
        <f ca="1">M52+M67+M80+M102+M125+M147+M165+M194+M181+M274+M290+M311+M328+M341+M364+M383+M421+M501+M521+M542+M563+M584+M607+M624+M650+M698+M722+M736+M768</f>
        <v>1956850</v>
      </c>
      <c r="N26" s="224">
        <f ca="1">N52+N67+N80+N102+N125+N147+N165+N194+N181+N274+N290+N311+N328+N341+N364+N383+N421+N501+N521+N542+N563+N584+N607+N624+N650+N698+N722+N736+N768</f>
        <v>1956850</v>
      </c>
      <c r="O26" s="224">
        <f ca="1">IF(L26&gt;0,N26*100/L26,0)</f>
        <v>97.143069896743441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2199380</v>
      </c>
      <c r="M40" s="790">
        <f ca="1">M44+M59+M72+M94+M125+M139+M157+M173+M186+M266+M282+M303+M320+M333+M356</f>
        <v>2341277</v>
      </c>
      <c r="N40" s="790">
        <f ca="1">N44+N59+N72+N94+N125+N139+N157+N173+N186+N266+N282+N303+N320+N333+N356</f>
        <v>1862567.2400000002</v>
      </c>
      <c r="O40" s="790">
        <f ca="1">IF(L40&gt;0,N40*100/L40,0)</f>
        <v>84.68601333102967</v>
      </c>
      <c r="P40" s="790">
        <f ca="1">IF(M40&gt;0,N40*100/M40,0)</f>
        <v>79.553476158523765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199500</v>
      </c>
      <c r="M44" s="784">
        <f ca="1">M45+M46</f>
        <v>170897</v>
      </c>
      <c r="N44" s="784">
        <f ca="1">N45+N46</f>
        <v>156647</v>
      </c>
      <c r="O44" s="784">
        <f ca="1">IF(L44&gt;0,N44*100/L44,0)</f>
        <v>78.519799498746863</v>
      </c>
      <c r="P44" s="784">
        <f ca="1">IF(M44&gt;0,N44*100/M44,0)</f>
        <v>91.661644148229641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199500</v>
      </c>
      <c r="M46" s="778">
        <f ca="1">M49+M52</f>
        <v>170897</v>
      </c>
      <c r="N46" s="778">
        <f ca="1">N49+N52</f>
        <v>156647</v>
      </c>
      <c r="O46" s="778">
        <f ca="1">IF(L46&gt;0,N46*100/L46,0)</f>
        <v>78.519799498746863</v>
      </c>
      <c r="P46" s="778">
        <f ca="1">IF(M46&gt;0,N46*100/M46,0)</f>
        <v>91.661644148229641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199500</v>
      </c>
      <c r="M47" s="224">
        <f ca="1">M48+M49</f>
        <v>170897</v>
      </c>
      <c r="N47" s="224">
        <f ca="1">N48+N49</f>
        <v>156647</v>
      </c>
      <c r="O47" s="224">
        <f ca="1">IF(L47&gt;0,N47*100/L47,0)</f>
        <v>78.519799498746863</v>
      </c>
      <c r="P47" s="224">
        <f ca="1">IF(M47&gt;0,N47*100/M47,0)</f>
        <v>91.661644148229641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IFERROR(__xludf.DUMMYFUNCTION("IMPORTRANGE(""https://docs.google.com/spreadsheets/d/1-uDff_7J0KD5mKrp0Vvzr7lt3OU09vwQwhkpOPPYv2Y/edit?usp=sharing"",""งบพรบ!P25"")"),199500)</f>
        <v>199500</v>
      </c>
      <c r="M49" s="224">
        <f ca="1">IFERROR(__xludf.DUMMYFUNCTION("IMPORTRANGE(""https://docs.google.com/spreadsheets/d/1-uDff_7J0KD5mKrp0Vvzr7lt3OU09vwQwhkpOPPYv2Y/edit?usp=sharing"",""งบพรบ!V25"")"),170897)</f>
        <v>170897</v>
      </c>
      <c r="N49" s="224">
        <f ca="1">IFERROR(__xludf.DUMMYFUNCTION("IMPORTRANGE(""https://docs.google.com/spreadsheets/d/1-uDff_7J0KD5mKrp0Vvzr7lt3OU09vwQwhkpOPPYv2Y/edit?usp=sharing"",""งบพรบ!Y25"")"),156647)</f>
        <v>156647</v>
      </c>
      <c r="O49" s="224">
        <f ca="1">IF(L49&gt;0,N49*100/L49,0)</f>
        <v>78.519799498746863</v>
      </c>
      <c r="P49" s="224">
        <f ca="1">IF(M49&gt;0,N49*100/M49,0)</f>
        <v>91.661644148229641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IFERROR(__xludf.DUMMYFUNCTION("IMPORTRANGE(""https://docs.google.com/spreadsheets/d/1-uDff_7J0KD5mKrp0Vvzr7lt3OU09vwQwhkpOPPYv2Y/edit?usp=sharing"",""งบพรบ!S25"")"),0)</f>
        <v>0</v>
      </c>
      <c r="M52" s="224">
        <f ca="1">IFERROR(__xludf.DUMMYFUNCTION("IMPORTRANGE(""https://docs.google.com/spreadsheets/d/1-uDff_7J0KD5mKrp0Vvzr7lt3OU09vwQwhkpOPPYv2Y/edit?usp=sharing"",""งบพรบ!W25"")"),0)</f>
        <v>0</v>
      </c>
      <c r="N52" s="224">
        <f ca="1">IFERROR(__xludf.DUMMYFUNCTION("IMPORTRANGE(""https://docs.google.com/spreadsheets/d/1-uDff_7J0KD5mKrp0Vvzr7lt3OU09vwQwhkpOPPYv2Y/edit?usp=sharing"",""งบพรบ!Z25"")"),0)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720100</v>
      </c>
      <c r="M59" s="772">
        <f ca="1">M60+M61</f>
        <v>718700</v>
      </c>
      <c r="N59" s="772">
        <f ca="1">N60+N61</f>
        <v>631331.38</v>
      </c>
      <c r="O59" s="772">
        <f ca="1">IF(L59&gt;0,N59*100/L59,0)</f>
        <v>87.67273711984447</v>
      </c>
      <c r="P59" s="772">
        <f ca="1">IF(M59&gt;0,N59*100/M59,0)</f>
        <v>87.843520244886605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720100</v>
      </c>
      <c r="M61" s="766">
        <f ca="1">M64+M67</f>
        <v>718700</v>
      </c>
      <c r="N61" s="766">
        <f ca="1">N64+N67</f>
        <v>631331.38</v>
      </c>
      <c r="O61" s="766">
        <f ca="1">IF(L61&gt;0,N61*100/L61,0)</f>
        <v>87.67273711984447</v>
      </c>
      <c r="P61" s="766">
        <f ca="1">IF(M61&gt;0,N61*100/M61,0)</f>
        <v>87.843520244886605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680700</v>
      </c>
      <c r="M62" s="224">
        <f ca="1">M63+M64</f>
        <v>680700</v>
      </c>
      <c r="N62" s="224">
        <f ca="1">N63+N64</f>
        <v>593331.38</v>
      </c>
      <c r="O62" s="224">
        <f ca="1">IF(L62&gt;0,N62*100/L62,0)</f>
        <v>87.164886146613782</v>
      </c>
      <c r="P62" s="224">
        <f ca="1">IF(M62&gt;0,N62*100/M62,0)</f>
        <v>87.164886146613782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IFERROR(__xludf.DUMMYFUNCTION("IMPORTRANGE(""https://docs.google.com/spreadsheets/d/1-uDff_7J0KD5mKrp0Vvzr7lt3OU09vwQwhkpOPPYv2Y/edit?usp=sharing"",""งบพรบ!AC25"")"),680700)</f>
        <v>680700</v>
      </c>
      <c r="M64" s="224">
        <f ca="1">IFERROR(__xludf.DUMMYFUNCTION("IMPORTRANGE(""https://docs.google.com/spreadsheets/d/1-uDff_7J0KD5mKrp0Vvzr7lt3OU09vwQwhkpOPPYv2Y/edit?usp=sharing"",""งบพรบ!AH25"")"),680700)</f>
        <v>680700</v>
      </c>
      <c r="N64" s="224">
        <f ca="1">IFERROR(__xludf.DUMMYFUNCTION("IMPORTRANGE(""https://docs.google.com/spreadsheets/d/1-uDff_7J0KD5mKrp0Vvzr7lt3OU09vwQwhkpOPPYv2Y/edit?usp=sharing"",""งบพรบ!AJ25"")"),593331.38)</f>
        <v>593331.38</v>
      </c>
      <c r="O64" s="224">
        <f ca="1">IF(L64&gt;0,N64*100/L64,0)</f>
        <v>87.164886146613782</v>
      </c>
      <c r="P64" s="224">
        <f ca="1">IF(M64&gt;0,N64*100/M64,0)</f>
        <v>87.164886146613782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39400</v>
      </c>
      <c r="M65" s="224">
        <f ca="1">M66+M67</f>
        <v>38000</v>
      </c>
      <c r="N65" s="224">
        <f ca="1">N66+N67</f>
        <v>38000</v>
      </c>
      <c r="O65" s="224">
        <f ca="1">IF(L65&gt;0,N65*100/L65,0)</f>
        <v>96.44670050761421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IFERROR(__xludf.DUMMYFUNCTION("IMPORTRANGE(""https://docs.google.com/spreadsheets/d/1-uDff_7J0KD5mKrp0Vvzr7lt3OU09vwQwhkpOPPYv2Y/edit?usp=sharing"",""งบพรบ!AF25"")"),39400)</f>
        <v>39400</v>
      </c>
      <c r="M67" s="508">
        <f ca="1">IFERROR(__xludf.DUMMYFUNCTION("IMPORTRANGE(""https://docs.google.com/spreadsheets/d/1-uDff_7J0KD5mKrp0Vvzr7lt3OU09vwQwhkpOPPYv2Y/edit?usp=sharing"",""งบพรบ!AI25"")"),38000)</f>
        <v>38000</v>
      </c>
      <c r="N67" s="508">
        <f ca="1">IFERROR(__xludf.DUMMYFUNCTION("IMPORTRANGE(""https://docs.google.com/spreadsheets/d/1-uDff_7J0KD5mKrp0Vvzr7lt3OU09vwQwhkpOPPYv2Y/edit?usp=sharing"",""งบพรบ!AK25"")"),38000)</f>
        <v>38000</v>
      </c>
      <c r="O67" s="508">
        <f ca="1">IF(L67&gt;0,N67*100/L67,0)</f>
        <v>96.44670050761421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IFERROR(__xludf.DUMMYFUNCTION("IMPORTRANGE(""https://docs.google.com/spreadsheets/d/1-uDff_7J0KD5mKrp0Vvzr7lt3OU09vwQwhkpOPPYv2Y/edit?usp=sharing"",""งบพรบ!AM25"")"),0)</f>
        <v>0</v>
      </c>
      <c r="M77" s="224">
        <f ca="1">IFERROR(__xludf.DUMMYFUNCTION("IMPORTRANGE(""https://docs.google.com/spreadsheets/d/1-uDff_7J0KD5mKrp0Vvzr7lt3OU09vwQwhkpOPPYv2Y/edit?usp=sharing"",""งบพรบ!AR25"")"),0)</f>
        <v>0</v>
      </c>
      <c r="N77" s="224">
        <f ca="1">IFERROR(__xludf.DUMMYFUNCTION("IMPORTRANGE(""https://docs.google.com/spreadsheets/d/1-uDff_7J0KD5mKrp0Vvzr7lt3OU09vwQwhkpOPPYv2Y/edit?usp=sharing"",""งบพรบ!AT25"")"),0)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IFERROR(__xludf.DUMMYFUNCTION("IMPORTRANGE(""https://docs.google.com/spreadsheets/d/1ItG2mGa2ceCfYo0BwxsXqNm01IGEUdYcSSLTEv9YCik/edit?usp=sharing"",""เบิกจ่ายกองทุน!BH25"")"),0)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IFERROR(__xludf.DUMMYFUNCTION("IMPORTRANGE(""https://docs.google.com/spreadsheets/d/1ItG2mGa2ceCfYo0BwxsXqNm01IGEUdYcSSLTEv9YCik/edit?usp=sharing"",""เบิกจ่ายกองทุน!BI25"")"),0)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IFERROR(__xludf.DUMMYFUNCTION("IMPORTRANGE(""https://docs.google.com/spreadsheets/d/1ItG2mGa2ceCfYo0BwxsXqNm01IGEUdYcSSLTEv9YCik/edit?usp=sharing"",""เบิกจ่ายกองทุน!BJ25"")"),0)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IFERROR(__xludf.DUMMYFUNCTION("IMPORTRANGE(""https://docs.google.com/spreadsheets/d/1-uDff_7J0KD5mKrp0Vvzr7lt3OU09vwQwhkpOPPYv2Y/edit?usp=sharing"",""งบพรบ!AP25"")"),0)</f>
        <v>0</v>
      </c>
      <c r="M80" s="224">
        <f ca="1">IFERROR(__xludf.DUMMYFUNCTION("IMPORTRANGE(""https://docs.google.com/spreadsheets/d/1-uDff_7J0KD5mKrp0Vvzr7lt3OU09vwQwhkpOPPYv2Y/edit?usp=sharing"",""งบพรบ!AS25"")"),0)</f>
        <v>0</v>
      </c>
      <c r="N80" s="224">
        <f ca="1">IFERROR(__xludf.DUMMYFUNCTION("IMPORTRANGE(""https://docs.google.com/spreadsheets/d/1-uDff_7J0KD5mKrp0Vvzr7lt3OU09vwQwhkpOPPYv2Y/edit?usp=sharing"",""งบพรบ!AU25"")"),0)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IFERROR(__xludf.DUMMYFUNCTION("IMPORTRANGE(""https://docs.google.com/spreadsheets/d/1ItG2mGa2ceCfYo0BwxsXqNm01IGEUdYcSSLTEv9YCik/edit?usp=sharing"",""เบิกจ่ายกองทุน!BK25"")"),0)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IFERROR(__xludf.DUMMYFUNCTION("IMPORTRANGE(""https://docs.google.com/spreadsheets/d/1ItG2mGa2ceCfYo0BwxsXqNm01IGEUdYcSSLTEv9YCik/edit?usp=sharing"",""เบิกจ่ายกองทุน!BL25"")"),0)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IFERROR(__xludf.DUMMYFUNCTION("IMPORTRANGE(""https://docs.google.com/spreadsheets/d/1ItG2mGa2ceCfYo0BwxsXqNm01IGEUdYcSSLTEv9YCik/edit?usp=sharing"",""เบิกจ่ายกองทุน!BM25"")"),0)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IFERROR(__xludf.DUMMYFUNCTION("IMPORTRANGE(""https://docs.google.com/spreadsheets/d/1eHaY18a8A9IcSdp1K8H6x8fbOy06t2VsZHhMHf-1x7Y/edit?usp=sharing"",""แผน!H25"")"),0)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IFERROR(__xludf.DUMMYFUNCTION("IMPORTRANGE(""https://docs.google.com/spreadsheets/d/1eHaY18a8A9IcSdp1K8H6x8fbOy06t2VsZHhMHf-1x7Y/edit?usp=sharing"",""แผน!I25"")"),0)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IFERROR(__xludf.DUMMYFUNCTION("IMPORTRANGE(""https://docs.google.com/spreadsheets/d/1eHaY18a8A9IcSdp1K8H6x8fbOy06t2VsZHhMHf-1x7Y/edit?usp=sharing"",""แผน!F25"")"),0)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IFERROR(__xludf.DUMMYFUNCTION("IMPORTRANGE(""https://docs.google.com/spreadsheets/d/1eHaY18a8A9IcSdp1K8H6x8fbOy06t2VsZHhMHf-1x7Y/edit?usp=sharing"",""แผน!G25"")"),0)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IFERROR(__xludf.DUMMYFUNCTION("IMPORTRANGE(""https://docs.google.com/spreadsheets/d/1eHaY18a8A9IcSdp1K8H6x8fbOy06t2VsZHhMHf-1x7Y/edit?usp=sharing"",""แผน!D25"")"),0)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IFERROR(__xludf.DUMMYFUNCTION("IMPORTRANGE(""https://docs.google.com/spreadsheets/d/1eHaY18a8A9IcSdp1K8H6x8fbOy06t2VsZHhMHf-1x7Y/edit?usp=sharing"",""แผน!E25"")"),0)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IFERROR(__xludf.DUMMYFUNCTION("IMPORTRANGE(""https://docs.google.com/spreadsheets/d/1eHaY18a8A9IcSdp1K8H6x8fbOy06t2VsZHhMHf-1x7Y/edit?usp=sharing"",""แผน!J25"")"),0)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12000</v>
      </c>
      <c r="M94" s="547">
        <f ca="1">M95+M96</f>
        <v>12000</v>
      </c>
      <c r="N94" s="547">
        <f ca="1">N95+N96</f>
        <v>12000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170160</v>
      </c>
      <c r="R94" s="547">
        <f ca="1">R95+R96</f>
        <v>170160</v>
      </c>
      <c r="S94" s="547">
        <f ca="1">S95+S96</f>
        <v>107285</v>
      </c>
      <c r="T94" s="547">
        <f ca="1">IF(Q94&gt;0,S94*100/Q94,0)</f>
        <v>63.049482839680302</v>
      </c>
      <c r="U94" s="547">
        <f ca="1">IF(R94&gt;0,S94*100/R94,0)</f>
        <v>63.049482839680302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12000</v>
      </c>
      <c r="M96" s="224">
        <f ca="1">M99+M102</f>
        <v>12000</v>
      </c>
      <c r="N96" s="224">
        <f ca="1">N99+N102</f>
        <v>12000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170160</v>
      </c>
      <c r="R96" s="224">
        <f ca="1">R99+R102</f>
        <v>170160</v>
      </c>
      <c r="S96" s="224">
        <f ca="1">S99+S102</f>
        <v>107285</v>
      </c>
      <c r="T96" s="224">
        <f ca="1">IF(Q96&gt;0,S96*100/Q96,0)</f>
        <v>63.049482839680302</v>
      </c>
      <c r="U96" s="224">
        <f ca="1">IF(R96&gt;0,S96*100/R96,0)</f>
        <v>63.049482839680302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12000</v>
      </c>
      <c r="M97" s="224">
        <f ca="1">M98+M99</f>
        <v>12000</v>
      </c>
      <c r="N97" s="224">
        <f ca="1">N98+N99</f>
        <v>12000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170160</v>
      </c>
      <c r="R97" s="224">
        <f ca="1">R98+R99</f>
        <v>170160</v>
      </c>
      <c r="S97" s="224">
        <f ca="1">S98+S99</f>
        <v>107285</v>
      </c>
      <c r="T97" s="224">
        <f ca="1">IF(Q97&gt;0,S97*100/Q97,0)</f>
        <v>63.049482839680302</v>
      </c>
      <c r="U97" s="224">
        <f ca="1">IF(R97&gt;0,S97*100/R97,0)</f>
        <v>63.049482839680302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IFERROR(__xludf.DUMMYFUNCTION("IMPORTRANGE(""https://docs.google.com/spreadsheets/d/1-uDff_7J0KD5mKrp0Vvzr7lt3OU09vwQwhkpOPPYv2Y/edit?usp=sharing"",""งบพรบ!AW25"")"),12000)</f>
        <v>12000</v>
      </c>
      <c r="M99" s="224">
        <f ca="1">IFERROR(__xludf.DUMMYFUNCTION("IMPORTRANGE(""https://docs.google.com/spreadsheets/d/1-uDff_7J0KD5mKrp0Vvzr7lt3OU09vwQwhkpOPPYv2Y/edit?usp=sharing"",""งบพรบ!BB25"")"),12000)</f>
        <v>12000</v>
      </c>
      <c r="N99" s="224">
        <f ca="1">IFERROR(__xludf.DUMMYFUNCTION("IMPORTRANGE(""https://docs.google.com/spreadsheets/d/1-uDff_7J0KD5mKrp0Vvzr7lt3OU09vwQwhkpOPPYv2Y/edit?usp=sharing"",""งบพรบ!BD25"")"),12000)</f>
        <v>12000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IFERROR(__xludf.DUMMYFUNCTION("IMPORTRANGE(""https://docs.google.com/spreadsheets/d/1ItG2mGa2ceCfYo0BwxsXqNm01IGEUdYcSSLTEv9YCik/edit?usp=sharing"",""เบิกจ่ายกองทุน!AJ25"")"),170160)</f>
        <v>170160</v>
      </c>
      <c r="R99" s="224">
        <f ca="1">IFERROR(__xludf.DUMMYFUNCTION("IMPORTRANGE(""https://docs.google.com/spreadsheets/d/1ItG2mGa2ceCfYo0BwxsXqNm01IGEUdYcSSLTEv9YCik/edit?usp=sharing"",""เบิกจ่ายกองทุน!AK25"")"),170160)</f>
        <v>170160</v>
      </c>
      <c r="S99" s="224">
        <f ca="1">IFERROR(__xludf.DUMMYFUNCTION("IMPORTRANGE(""https://docs.google.com/spreadsheets/d/1ItG2mGa2ceCfYo0BwxsXqNm01IGEUdYcSSLTEv9YCik/edit?usp=sharing"",""เบิกจ่ายกองทุน!AL25"")"),107285)</f>
        <v>107285</v>
      </c>
      <c r="T99" s="224">
        <f ca="1">IF(Q99&gt;0,S99*100/Q99,0)</f>
        <v>63.049482839680302</v>
      </c>
      <c r="U99" s="224">
        <f ca="1">IF(R99&gt;0,S99*100/R99,0)</f>
        <v>63.049482839680302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IFERROR(__xludf.DUMMYFUNCTION("IMPORTRANGE(""https://docs.google.com/spreadsheets/d/1-uDff_7J0KD5mKrp0Vvzr7lt3OU09vwQwhkpOPPYv2Y/edit?usp=sharing"",""งบพรบ!AZ25"")"),0)</f>
        <v>0</v>
      </c>
      <c r="M102" s="224">
        <f ca="1">IFERROR(__xludf.DUMMYFUNCTION("IMPORTRANGE(""https://docs.google.com/spreadsheets/d/1-uDff_7J0KD5mKrp0Vvzr7lt3OU09vwQwhkpOPPYv2Y/edit?usp=sharing"",""งบพรบ!BC25"")"),0)</f>
        <v>0</v>
      </c>
      <c r="N102" s="224">
        <f ca="1">IFERROR(__xludf.DUMMYFUNCTION("IMPORTRANGE(""https://docs.google.com/spreadsheets/d/1-uDff_7J0KD5mKrp0Vvzr7lt3OU09vwQwhkpOPPYv2Y/edit?usp=sharing"",""งบพรบ!BE25"")"),0)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IFERROR(__xludf.DUMMYFUNCTION("IMPORTRANGE(""https://docs.google.com/spreadsheets/d/1eHaY18a8A9IcSdp1K8H6x8fbOy06t2VsZHhMHf-1x7Y/edit?usp=sharing"",""แผน!N25"")"),60)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IFERROR(__xludf.DUMMYFUNCTION("IMPORTRANGE(""https://docs.google.com/spreadsheets/d/1eHaY18a8A9IcSdp1K8H6x8fbOy06t2VsZHhMHf-1x7Y/edit?usp=sharing"",""แผน!O25"")"),20)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IFERROR(__xludf.DUMMYFUNCTION("IMPORTRANGE(""https://docs.google.com/spreadsheets/d/1eHaY18a8A9IcSdp1K8H6x8fbOy06t2VsZHhMHf-1x7Y/edit?usp=sharing"",""แผน!N25"")"),60)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IFERROR(__xludf.DUMMYFUNCTION("IMPORTRANGE(""https://docs.google.com/spreadsheets/d/1eHaY18a8A9IcSdp1K8H6x8fbOy06t2VsZHhMHf-1x7Y/edit?usp=sharing"",""แผน!O25"")"),20)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174625</v>
      </c>
      <c r="T117" s="547">
        <f ca="1">IF(Q117&gt;0,S117*100/Q117,0)</f>
        <v>83.40896064195644</v>
      </c>
      <c r="U117" s="547">
        <f ca="1">IF(R117&gt;0,S117*100/R117,0)</f>
        <v>83.40896064195644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174625</v>
      </c>
      <c r="T119" s="224">
        <f ca="1">IF(Q119&gt;0,S119*100/Q119,0)</f>
        <v>83.40896064195644</v>
      </c>
      <c r="U119" s="224">
        <f ca="1">IF(R119&gt;0,S119*100/R119,0)</f>
        <v>83.40896064195644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174625</v>
      </c>
      <c r="T120" s="224">
        <f ca="1">IF(Q120&gt;0,S120*100/Q120,0)</f>
        <v>83.40896064195644</v>
      </c>
      <c r="U120" s="224">
        <f ca="1">IF(R120&gt;0,S120*100/R120,0)</f>
        <v>83.40896064195644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IFERROR(__xludf.DUMMYFUNCTION("IMPORTRANGE(""https://docs.google.com/spreadsheets/d/1-uDff_7J0KD5mKrp0Vvzr7lt3OU09vwQwhkpOPPYv2Y/edit?usp=sharing"",""งบพรบ!BG25"")"),0)</f>
        <v>0</v>
      </c>
      <c r="M122" s="224">
        <f ca="1">IFERROR(__xludf.DUMMYFUNCTION("IMPORTRANGE(""https://docs.google.com/spreadsheets/d/1-uDff_7J0KD5mKrp0Vvzr7lt3OU09vwQwhkpOPPYv2Y/edit?usp=sharing"",""งบพรบ!BL25"")"),0)</f>
        <v>0</v>
      </c>
      <c r="N122" s="224">
        <f ca="1">IFERROR(__xludf.DUMMYFUNCTION("IMPORTRANGE(""https://docs.google.com/spreadsheets/d/1-uDff_7J0KD5mKrp0Vvzr7lt3OU09vwQwhkpOPPYv2Y/edit?usp=sharing"",""งบพรบ!BN25"")"),0)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IFERROR(__xludf.DUMMYFUNCTION("IMPORTRANGE(""https://docs.google.com/spreadsheets/d/1ItG2mGa2ceCfYo0BwxsXqNm01IGEUdYcSSLTEv9YCik/edit?usp=sharing"",""เบิกจ่ายกองทุน!U25"")"),209360)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IFERROR(__xludf.DUMMYFUNCTION("IMPORTRANGE(""https://docs.google.com/spreadsheets/d/1ItG2mGa2ceCfYo0BwxsXqNm01IGEUdYcSSLTEv9YCik/edit?usp=sharing"",""เบิกจ่ายกองทุน!V25"")"),209360)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IFERROR(__xludf.DUMMYFUNCTION("IMPORTRANGE(""https://docs.google.com/spreadsheets/d/1ItG2mGa2ceCfYo0BwxsXqNm01IGEUdYcSSLTEv9YCik/edit?usp=sharing"",""เบิกจ่ายกองทุน!W25"")"),174625)</f>
        <v>174625</v>
      </c>
      <c r="T122" s="224">
        <f ca="1">IF(Q122&gt;0,S122*100/Q122,0)</f>
        <v>83.40896064195644</v>
      </c>
      <c r="U122" s="224">
        <f ca="1">IF(R122&gt;0,S122*100/R122,0)</f>
        <v>83.40896064195644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IFERROR(__xludf.DUMMYFUNCTION("IMPORTRANGE(""https://docs.google.com/spreadsheets/d/1-uDff_7J0KD5mKrp0Vvzr7lt3OU09vwQwhkpOPPYv2Y/edit?usp=sharing"",""งบพรบ!BJ25"")"),0)</f>
        <v>0</v>
      </c>
      <c r="M125" s="224">
        <f ca="1">IFERROR(__xludf.DUMMYFUNCTION("IMPORTRANGE(""https://docs.google.com/spreadsheets/d/1-uDff_7J0KD5mKrp0Vvzr7lt3OU09vwQwhkpOPPYv2Y/edit?usp=sharing"",""งบพรบ!BM25"")"),0)</f>
        <v>0</v>
      </c>
      <c r="N125" s="224">
        <f ca="1">IFERROR(__xludf.DUMMYFUNCTION("IMPORTRANGE(""https://docs.google.com/spreadsheets/d/1-uDff_7J0KD5mKrp0Vvzr7lt3OU09vwQwhkpOPPYv2Y/edit?usp=sharing"",""งบพรบ!BO25"")"),0)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IFERROR(__xludf.DUMMYFUNCTION("IMPORTRANGE(""https://docs.google.com/spreadsheets/d/1ItG2mGa2ceCfYo0BwxsXqNm01IGEUdYcSSLTEv9YCik/edit?usp=sharing"",""เบิกจ่ายกองทุน!X25"")"),0)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IFERROR(__xludf.DUMMYFUNCTION("IMPORTRANGE(""https://docs.google.com/spreadsheets/d/1ItG2mGa2ceCfYo0BwxsXqNm01IGEUdYcSSLTEv9YCik/edit?usp=sharing"",""เบิกจ่ายกองทุน!Y25"")"),0)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IFERROR(__xludf.DUMMYFUNCTION("IMPORTRANGE(""https://docs.google.com/spreadsheets/d/1ItG2mGa2ceCfYo0BwxsXqNm01IGEUdYcSSLTEv9YCik/edit?usp=sharing"",""เบิกจ่ายกองทุน!Z25"")"),0)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IFERROR(__xludf.DUMMYFUNCTION("IMPORTRANGE(""https://docs.google.com/spreadsheets/d/1eHaY18a8A9IcSdp1K8H6x8fbOy06t2VsZHhMHf-1x7Y/edit?usp=sharing"",""แผน!FF25"")"),20)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IFERROR(__xludf.DUMMYFUNCTION("IMPORTRANGE(""https://docs.google.com/spreadsheets/d/1eHaY18a8A9IcSdp1K8H6x8fbOy06t2VsZHhMHf-1x7Y/edit?usp=sharing"",""แผน!FG25"")"),1)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IFERROR(__xludf.DUMMYFUNCTION("IMPORTRANGE(""https://docs.google.com/spreadsheets/d/1eHaY18a8A9IcSdp1K8H6x8fbOy06t2VsZHhMHf-1x7Y/edit?usp=sharing"",""แผน!FH25"")"),20)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IFERROR(__xludf.DUMMYFUNCTION("IMPORTRANGE(""https://docs.google.com/spreadsheets/d/1eHaY18a8A9IcSdp1K8H6x8fbOy06t2VsZHhMHf-1x7Y/edit?usp=sharing"",""แผน!FI25"")"),1)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IFERROR(__xludf.DUMMYFUNCTION("IMPORTRANGE(""https://docs.google.com/spreadsheets/d/1-uDff_7J0KD5mKrp0Vvzr7lt3OU09vwQwhkpOPPYv2Y/edit?usp=sharing"",""งบพรบ!BQ25"")"),0)</f>
        <v>0</v>
      </c>
      <c r="M144" s="224">
        <f ca="1">IFERROR(__xludf.DUMMYFUNCTION("IMPORTRANGE(""https://docs.google.com/spreadsheets/d/1-uDff_7J0KD5mKrp0Vvzr7lt3OU09vwQwhkpOPPYv2Y/edit?usp=sharing"",""งบพรบ!BV25"")"),0)</f>
        <v>0</v>
      </c>
      <c r="N144" s="224">
        <f ca="1">IFERROR(__xludf.DUMMYFUNCTION("IMPORTRANGE(""https://docs.google.com/spreadsheets/d/1-uDff_7J0KD5mKrp0Vvzr7lt3OU09vwQwhkpOPPYv2Y/edit?usp=sharing"",""งบพรบ!BX25"")"),0)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IFERROR(__xludf.DUMMYFUNCTION("IMPORTRANGE(""https://docs.google.com/spreadsheets/d/1ItG2mGa2ceCfYo0BwxsXqNm01IGEUdYcSSLTEv9YCik/edit?usp=sharing"",""เบิกจ่ายกองทุน!CF25"")"),0)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IFERROR(__xludf.DUMMYFUNCTION("IMPORTRANGE(""https://docs.google.com/spreadsheets/d/1ItG2mGa2ceCfYo0BwxsXqNm01IGEUdYcSSLTEv9YCik/edit?usp=sharing"",""เบิกจ่ายกองทุน!CG25"")"),0)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IFERROR(__xludf.DUMMYFUNCTION("IMPORTRANGE(""https://docs.google.com/spreadsheets/d/1ItG2mGa2ceCfYo0BwxsXqNm01IGEUdYcSSLTEv9YCik/edit?usp=sharing"",""เบิกจ่ายกองทุน!CH25"")"),0)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IFERROR(__xludf.DUMMYFUNCTION("IMPORTRANGE(""https://docs.google.com/spreadsheets/d/1-uDff_7J0KD5mKrp0Vvzr7lt3OU09vwQwhkpOPPYv2Y/edit?usp=sharing"",""งบพรบ!BT25"")"),0)</f>
        <v>0</v>
      </c>
      <c r="M147" s="224">
        <f ca="1">IFERROR(__xludf.DUMMYFUNCTION("IMPORTRANGE(""https://docs.google.com/spreadsheets/d/1-uDff_7J0KD5mKrp0Vvzr7lt3OU09vwQwhkpOPPYv2Y/edit?usp=sharing"",""งบพรบ!BW25"")"),0)</f>
        <v>0</v>
      </c>
      <c r="N147" s="224">
        <f ca="1">IFERROR(__xludf.DUMMYFUNCTION("IMPORTRANGE(""https://docs.google.com/spreadsheets/d/1-uDff_7J0KD5mKrp0Vvzr7lt3OU09vwQwhkpOPPYv2Y/edit?usp=sharing"",""งบพรบ!BY25"")"),0)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IFERROR(__xludf.DUMMYFUNCTION("IMPORTRANGE(""https://docs.google.com/spreadsheets/d/1ItG2mGa2ceCfYo0BwxsXqNm01IGEUdYcSSLTEv9YCik/edit?usp=sharing"",""เบิกจ่ายกองทุน!CI25"")"),0)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IFERROR(__xludf.DUMMYFUNCTION("IMPORTRANGE(""https://docs.google.com/spreadsheets/d/1ItG2mGa2ceCfYo0BwxsXqNm01IGEUdYcSSLTEv9YCik/edit?usp=sharing"",""เบิกจ่ายกองทุน!CJ25"")"),0)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IFERROR(__xludf.DUMMYFUNCTION("IMPORTRANGE(""https://docs.google.com/spreadsheets/d/1ItG2mGa2ceCfYo0BwxsXqNm01IGEUdYcSSLTEv9YCik/edit?usp=sharing"",""เบิกจ่ายกองทุน!CK25"")"),0)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IFERROR(__xludf.DUMMYFUNCTION("IMPORTRANGE(""https://docs.google.com/spreadsheets/d/1eHaY18a8A9IcSdp1K8H6x8fbOy06t2VsZHhMHf-1x7Y/edit?usp=sharing"",""แผน!U25"")"),0)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IFERROR(__xludf.DUMMYFUNCTION("IMPORTRANGE(""https://docs.google.com/spreadsheets/d/1eHaY18a8A9IcSdp1K8H6x8fbOy06t2VsZHhMHf-1x7Y/edit?usp=sharing"",""แผน!V25"")"),0)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IFERROR(__xludf.DUMMYFUNCTION("IMPORTRANGE(""https://docs.google.com/spreadsheets/d/1eHaY18a8A9IcSdp1K8H6x8fbOy06t2VsZHhMHf-1x7Y/edit?usp=sharing"",""แผน!W25"")"),0)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IFERROR(__xludf.DUMMYFUNCTION("IMPORTRANGE(""https://docs.google.com/spreadsheets/d/1eHaY18a8A9IcSdp1K8H6x8fbOy06t2VsZHhMHf-1x7Y/edit?usp=sharing"",""แผน!X25"")"),0)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IFERROR(__xludf.DUMMYFUNCTION("IMPORTRANGE(""https://docs.google.com/spreadsheets/d/1eHaY18a8A9IcSdp1K8H6x8fbOy06t2VsZHhMHf-1x7Y/edit?usp=sharing"",""แผน!Y25"")"),0)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5610</v>
      </c>
      <c r="N157" s="547">
        <f ca="1">N158+N159</f>
        <v>5174</v>
      </c>
      <c r="O157" s="547">
        <f ca="1">IF(L157&gt;0,N157*100/L157,0)</f>
        <v>114.97777777777777</v>
      </c>
      <c r="P157" s="547">
        <f ca="1">IF(M157&gt;0,N157*100/M157,0)</f>
        <v>92.228163992869881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5610</v>
      </c>
      <c r="N159" s="224">
        <f ca="1">N162+N165</f>
        <v>5174</v>
      </c>
      <c r="O159" s="224">
        <f ca="1">IF(L159&gt;0,N159*100/L159,0)</f>
        <v>114.97777777777777</v>
      </c>
      <c r="P159" s="224">
        <f ca="1">IF(M159&gt;0,N159*100/M159,0)</f>
        <v>92.228163992869881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5610</v>
      </c>
      <c r="N160" s="224">
        <f ca="1">N161+N162</f>
        <v>5174</v>
      </c>
      <c r="O160" s="224">
        <f ca="1">IF(L160&gt;0,N160*100/L160,0)</f>
        <v>114.97777777777777</v>
      </c>
      <c r="P160" s="224">
        <f ca="1">IF(M160&gt;0,N160*100/M160,0)</f>
        <v>92.228163992869881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IFERROR(__xludf.DUMMYFUNCTION("IMPORTRANGE(""https://docs.google.com/spreadsheets/d/1-uDff_7J0KD5mKrp0Vvzr7lt3OU09vwQwhkpOPPYv2Y/edit?usp=sharing"",""งบพรบ!CA25"")"),4500)</f>
        <v>4500</v>
      </c>
      <c r="M162" s="224">
        <f ca="1">IFERROR(__xludf.DUMMYFUNCTION("IMPORTRANGE(""https://docs.google.com/spreadsheets/d/1-uDff_7J0KD5mKrp0Vvzr7lt3OU09vwQwhkpOPPYv2Y/edit?usp=sharing"",""งบพรบ!CF25"")"),5610)</f>
        <v>5610</v>
      </c>
      <c r="N162" s="224">
        <f ca="1">IFERROR(__xludf.DUMMYFUNCTION("IMPORTRANGE(""https://docs.google.com/spreadsheets/d/1-uDff_7J0KD5mKrp0Vvzr7lt3OU09vwQwhkpOPPYv2Y/edit?usp=sharing"",""งบพรบ!CH25"")"),5174)</f>
        <v>5174</v>
      </c>
      <c r="O162" s="224">
        <f ca="1">IF(L162&gt;0,N162*100/L162,0)</f>
        <v>114.97777777777777</v>
      </c>
      <c r="P162" s="224">
        <f ca="1">IF(M162&gt;0,N162*100/M162,0)</f>
        <v>92.228163992869881</v>
      </c>
      <c r="Q162" s="224">
        <f ca="1">IFERROR(__xludf.DUMMYFUNCTION("IMPORTRANGE(""https://docs.google.com/spreadsheets/d/1ItG2mGa2ceCfYo0BwxsXqNm01IGEUdYcSSLTEv9YCik/edit?usp=sharing"",""เบิกจ่ายกองทุน!AM25"")"),0)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IFERROR(__xludf.DUMMYFUNCTION("IMPORTRANGE(""https://docs.google.com/spreadsheets/d/1ItG2mGa2ceCfYo0BwxsXqNm01IGEUdYcSSLTEv9YCik/edit?usp=sharing"",""เบิกจ่ายกองทุน!AO25"")"),0)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IFERROR(__xludf.DUMMYFUNCTION("IMPORTRANGE(""https://docs.google.com/spreadsheets/d/1-uDff_7J0KD5mKrp0Vvzr7lt3OU09vwQwhkpOPPYv2Y/edit?usp=sharing"",""งบพรบ!CD25"")"),0)</f>
        <v>0</v>
      </c>
      <c r="M165" s="224">
        <f ca="1">IFERROR(__xludf.DUMMYFUNCTION("IMPORTRANGE(""https://docs.google.com/spreadsheets/d/1-uDff_7J0KD5mKrp0Vvzr7lt3OU09vwQwhkpOPPYv2Y/edit?usp=sharing"",""งบพรบ!CG25"")"),0)</f>
        <v>0</v>
      </c>
      <c r="N165" s="224">
        <f ca="1">IFERROR(__xludf.DUMMYFUNCTION("IMPORTRANGE(""https://docs.google.com/spreadsheets/d/1-uDff_7J0KD5mKrp0Vvzr7lt3OU09vwQwhkpOPPYv2Y/edit?usp=sharing"",""งบพรบ!CI25"")"),0)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IFERROR(__xludf.DUMMYFUNCTION("IMPORTRANGE(""https://docs.google.com/spreadsheets/d/1eHaY18a8A9IcSdp1K8H6x8fbOy06t2VsZHhMHf-1x7Y/edit?usp=sharing"",""แผน!Z25"")"),15)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39980</v>
      </c>
      <c r="N173" s="547">
        <f ca="1">N174+N175</f>
        <v>37402</v>
      </c>
      <c r="O173" s="547">
        <f ca="1">IF(L173&gt;0,N173*100/L173,0)</f>
        <v>190.92394078611537</v>
      </c>
      <c r="P173" s="547">
        <f ca="1">IF(M173&gt;0,N173*100/M173,0)</f>
        <v>93.551775887943975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39980</v>
      </c>
      <c r="N175" s="224">
        <f ca="1">N178+N181</f>
        <v>37402</v>
      </c>
      <c r="O175" s="224">
        <f ca="1">IF(L175&gt;0,N175*100/L175,0)</f>
        <v>190.92394078611537</v>
      </c>
      <c r="P175" s="224">
        <f ca="1">IF(M175&gt;0,N175*100/M175,0)</f>
        <v>93.551775887943975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39980</v>
      </c>
      <c r="N176" s="224">
        <f ca="1">N177+N178</f>
        <v>37402</v>
      </c>
      <c r="O176" s="224">
        <f ca="1">IF(L176&gt;0,N176*100/L176,0)</f>
        <v>190.92394078611537</v>
      </c>
      <c r="P176" s="224">
        <f ca="1">IF(M176&gt;0,N176*100/M176,0)</f>
        <v>93.551775887943975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IFERROR(__xludf.DUMMYFUNCTION("IMPORTRANGE(""https://docs.google.com/spreadsheets/d/1-uDff_7J0KD5mKrp0Vvzr7lt3OU09vwQwhkpOPPYv2Y/edit?usp=sharing"",""งบพรบ!CK25"")"),19590)</f>
        <v>19590</v>
      </c>
      <c r="M178" s="224">
        <f ca="1">IFERROR(__xludf.DUMMYFUNCTION("IMPORTRANGE(""https://docs.google.com/spreadsheets/d/1-uDff_7J0KD5mKrp0Vvzr7lt3OU09vwQwhkpOPPYv2Y/edit?usp=sharing"",""งบพรบ!CP25"")"),39980)</f>
        <v>39980</v>
      </c>
      <c r="N178" s="224">
        <f ca="1">IFERROR(__xludf.DUMMYFUNCTION("IMPORTRANGE(""https://docs.google.com/spreadsheets/d/1-uDff_7J0KD5mKrp0Vvzr7lt3OU09vwQwhkpOPPYv2Y/edit?usp=sharing"",""งบพรบ!CR25"")"),37402)</f>
        <v>37402</v>
      </c>
      <c r="O178" s="224">
        <f ca="1">IF(L178&gt;0,N178*100/L178,0)</f>
        <v>190.92394078611537</v>
      </c>
      <c r="P178" s="224">
        <f ca="1">IF(M178&gt;0,N178*100/M178,0)</f>
        <v>93.551775887943975</v>
      </c>
      <c r="Q178" s="224">
        <f ca="1">IFERROR(__xludf.DUMMYFUNCTION("IMPORTRANGE(""https://docs.google.com/spreadsheets/d/1ItG2mGa2ceCfYo0BwxsXqNm01IGEUdYcSSLTEv9YCik/edit?usp=sharing"",""เบิกจ่ายกองทุน!DG25"")"),22960)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IFERROR(__xludf.DUMMYFUNCTION("IMPORTRANGE(""https://docs.google.com/spreadsheets/d/1ItG2mGa2ceCfYo0BwxsXqNm01IGEUdYcSSLTEv9YCik/edit?usp=sharing"",""เบิกจ่ายกองทุน!DH25"")"),22960)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IFERROR(__xludf.DUMMYFUNCTION("IMPORTRANGE(""https://docs.google.com/spreadsheets/d/1ItG2mGa2ceCfYo0BwxsXqNm01IGEUdYcSSLTEv9YCik/edit?usp=sharing"",""เบิกจ่ายกองทุน!DI25"")"),22960)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IFERROR(__xludf.DUMMYFUNCTION("IMPORTRANGE(""https://docs.google.com/spreadsheets/d/1-uDff_7J0KD5mKrp0Vvzr7lt3OU09vwQwhkpOPPYv2Y/edit?usp=sharing"",""งบพรบ!CN25"")"),0)</f>
        <v>0</v>
      </c>
      <c r="M181" s="224">
        <f ca="1">IFERROR(__xludf.DUMMYFUNCTION("IMPORTRANGE(""https://docs.google.com/spreadsheets/d/1-uDff_7J0KD5mKrp0Vvzr7lt3OU09vwQwhkpOPPYv2Y/edit?usp=sharing"",""งบพรบ!CQ25"")"),0)</f>
        <v>0</v>
      </c>
      <c r="N181" s="224">
        <f ca="1">IFERROR(__xludf.DUMMYFUNCTION("IMPORTRANGE(""https://docs.google.com/spreadsheets/d/1-uDff_7J0KD5mKrp0Vvzr7lt3OU09vwQwhkpOPPYv2Y/edit?usp=sharing"",""งบพรบ!CS25"")"),0)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IFERROR(__xludf.DUMMYFUNCTION("IMPORTRANGE(""https://docs.google.com/spreadsheets/d/1eHaY18a8A9IcSdp1K8H6x8fbOy06t2VsZHhMHf-1x7Y/edit?usp=sharing"",""แผน!AA25"")"),17)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127500</v>
      </c>
      <c r="M186" s="547">
        <f ca="1">M187+M188</f>
        <v>171300</v>
      </c>
      <c r="N186" s="547">
        <f ca="1">N187+N188</f>
        <v>171300</v>
      </c>
      <c r="O186" s="547">
        <f ca="1">IF(L186&gt;0,N186*100/L186,0)</f>
        <v>134.35294117647058</v>
      </c>
      <c r="P186" s="547">
        <f ca="1">IF(M186&gt;0,N186*100/M186,0)</f>
        <v>100</v>
      </c>
      <c r="Q186" s="547">
        <f ca="1">Q187+Q188</f>
        <v>14000</v>
      </c>
      <c r="R186" s="547">
        <f ca="1">R187+R188</f>
        <v>14000</v>
      </c>
      <c r="S186" s="547">
        <f ca="1">S187+S188</f>
        <v>11370</v>
      </c>
      <c r="T186" s="547">
        <f ca="1">IF(Q186&gt;0,S186*100/Q186,0)</f>
        <v>81.214285714285708</v>
      </c>
      <c r="U186" s="547">
        <f ca="1">IF(R186&gt;0,S186*100/R186,0)</f>
        <v>81.214285714285708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127500</v>
      </c>
      <c r="M188" s="224">
        <f ca="1">M191+M194</f>
        <v>171300</v>
      </c>
      <c r="N188" s="224">
        <f ca="1">N191+N194</f>
        <v>171300</v>
      </c>
      <c r="O188" s="224">
        <f ca="1">IF(L188&gt;0,N188*100/L188,0)</f>
        <v>134.35294117647058</v>
      </c>
      <c r="P188" s="224">
        <f ca="1">IF(M188&gt;0,N188*100/M188,0)</f>
        <v>100</v>
      </c>
      <c r="Q188" s="224">
        <f ca="1">Q191+Q194</f>
        <v>14000</v>
      </c>
      <c r="R188" s="224">
        <f ca="1">R191+R194</f>
        <v>14000</v>
      </c>
      <c r="S188" s="224">
        <f ca="1">S191+S194</f>
        <v>11370</v>
      </c>
      <c r="T188" s="224">
        <f ca="1">IF(Q188&gt;0,S188*100/Q188,0)</f>
        <v>81.214285714285708</v>
      </c>
      <c r="U188" s="224">
        <f ca="1">IF(R188&gt;0,S188*100/R188,0)</f>
        <v>81.214285714285708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127500</v>
      </c>
      <c r="M189" s="224">
        <f ca="1">M190+M191</f>
        <v>171300</v>
      </c>
      <c r="N189" s="224">
        <f ca="1">N190+N191</f>
        <v>171300</v>
      </c>
      <c r="O189" s="224">
        <f ca="1">IF(L189&gt;0,N189*100/L189,0)</f>
        <v>134.35294117647058</v>
      </c>
      <c r="P189" s="224">
        <f ca="1">IF(M189&gt;0,N189*100/M189,0)</f>
        <v>100</v>
      </c>
      <c r="Q189" s="224">
        <f ca="1">Q190+Q191</f>
        <v>14000</v>
      </c>
      <c r="R189" s="224">
        <f ca="1">R190+R191</f>
        <v>14000</v>
      </c>
      <c r="S189" s="224">
        <f ca="1">S190+S191</f>
        <v>11370</v>
      </c>
      <c r="T189" s="224">
        <f ca="1">IF(Q189&gt;0,S189*100/Q189,0)</f>
        <v>81.214285714285708</v>
      </c>
      <c r="U189" s="224">
        <f ca="1">IF(R189&gt;0,S189*100/R189,0)</f>
        <v>81.214285714285708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IFERROR(__xludf.DUMMYFUNCTION("IMPORTRANGE(""https://docs.google.com/spreadsheets/d/1-uDff_7J0KD5mKrp0Vvzr7lt3OU09vwQwhkpOPPYv2Y/edit?usp=sharing"",""งบพรบ!CU25"")"),127500)</f>
        <v>127500</v>
      </c>
      <c r="M191" s="224">
        <f ca="1">IFERROR(__xludf.DUMMYFUNCTION("IMPORTRANGE(""https://docs.google.com/spreadsheets/d/1-uDff_7J0KD5mKrp0Vvzr7lt3OU09vwQwhkpOPPYv2Y/edit?usp=sharing"",""งบพรบ!CZ25"")"),171300)</f>
        <v>171300</v>
      </c>
      <c r="N191" s="224">
        <f ca="1">IFERROR(__xludf.DUMMYFUNCTION("IMPORTRANGE(""https://docs.google.com/spreadsheets/d/1-uDff_7J0KD5mKrp0Vvzr7lt3OU09vwQwhkpOPPYv2Y/edit?usp=sharing"",""งบพรบ!DB25"")"),171300)</f>
        <v>171300</v>
      </c>
      <c r="O191" s="224">
        <f ca="1">IF(L191&gt;0,N191*100/L191,0)</f>
        <v>134.35294117647058</v>
      </c>
      <c r="P191" s="224">
        <f ca="1">IF(M191&gt;0,N191*100/M191,0)</f>
        <v>100</v>
      </c>
      <c r="Q191" s="224">
        <f ca="1">IFERROR(__xludf.DUMMYFUNCTION("IMPORTRANGE(""https://docs.google.com/spreadsheets/d/1ItG2mGa2ceCfYo0BwxsXqNm01IGEUdYcSSLTEv9YCik/edit?usp=sharing"",""เบิกจ่ายกองทุน!BQ25"")"),14000)</f>
        <v>14000</v>
      </c>
      <c r="R191" s="224">
        <f ca="1">IFERROR(__xludf.DUMMYFUNCTION("IMPORTRANGE(""https://docs.google.com/spreadsheets/d/1ItG2mGa2ceCfYo0BwxsXqNm01IGEUdYcSSLTEv9YCik/edit?usp=sharing"",""เบิกจ่ายกองทุน!BR25"")"),14000)</f>
        <v>14000</v>
      </c>
      <c r="S191" s="224">
        <f ca="1">IFERROR(__xludf.DUMMYFUNCTION("IMPORTRANGE(""https://docs.google.com/spreadsheets/d/1ItG2mGa2ceCfYo0BwxsXqNm01IGEUdYcSSLTEv9YCik/edit?usp=sharing"",""เบิกจ่ายกองทุน!BS25"")"),11370)</f>
        <v>11370</v>
      </c>
      <c r="T191" s="224">
        <f ca="1">IF(Q191&gt;0,S191*100/Q191,0)</f>
        <v>81.214285714285708</v>
      </c>
      <c r="U191" s="224">
        <f ca="1">IF(R191&gt;0,S191*100/R191,0)</f>
        <v>81.214285714285708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IFERROR(__xludf.DUMMYFUNCTION("IMPORTRANGE(""https://docs.google.com/spreadsheets/d/1-uDff_7J0KD5mKrp0Vvzr7lt3OU09vwQwhkpOPPYv2Y/edit?usp=sharing"",""งบพรบ!CX25"")"),0)</f>
        <v>0</v>
      </c>
      <c r="M194" s="224">
        <f ca="1">IFERROR(__xludf.DUMMYFUNCTION("IMPORTRANGE(""https://docs.google.com/spreadsheets/d/1-uDff_7J0KD5mKrp0Vvzr7lt3OU09vwQwhkpOPPYv2Y/edit?usp=sharing"",""งบพรบ!DA25"")"),0)</f>
        <v>0</v>
      </c>
      <c r="N194" s="224">
        <f ca="1">IFERROR(__xludf.DUMMYFUNCTION("IMPORTRANGE(""https://docs.google.com/spreadsheets/d/1-uDff_7J0KD5mKrp0Vvzr7lt3OU09vwQwhkpOPPYv2Y/edit?usp=sharing"",""งบพรบ!DC25"")"),0)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IFERROR(__xludf.DUMMYFUNCTION("IMPORTRANGE(""https://docs.google.com/spreadsheets/d/1ItG2mGa2ceCfYo0BwxsXqNm01IGEUdYcSSLTEv9YCik/edit?usp=sharing"",""เบิกจ่ายกองทุน!BT25"")"),0)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IFERROR(__xludf.DUMMYFUNCTION("IMPORTRANGE(""https://docs.google.com/spreadsheets/d/1ItG2mGa2ceCfYo0BwxsXqNm01IGEUdYcSSLTEv9YCik/edit?usp=sharing"",""เบิกจ่ายกองทุน!BU25"")"),0)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IFERROR(__xludf.DUMMYFUNCTION("IMPORTRANGE(""https://docs.google.com/spreadsheets/d/1ItG2mGa2ceCfYo0BwxsXqNm01IGEUdYcSSLTEv9YCik/edit?usp=sharing"",""เบิกจ่ายกองทุน!BV25"")"),0)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IFERROR(__xludf.DUMMYFUNCTION("IMPORTRANGE(""https://docs.google.com/spreadsheets/d/1eHaY18a8A9IcSdp1K8H6x8fbOy06t2VsZHhMHf-1x7Y/edit?usp=sharing"",""แผน!AB25"")"),6000)</f>
        <v>6000</v>
      </c>
      <c r="M196" s="45"/>
      <c r="N196" s="749">
        <v>4160</v>
      </c>
      <c r="O196" s="547">
        <f ca="1">IF(L196&gt;0,N196*100/L196,0)</f>
        <v>69.333333333333329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IFERROR(__xludf.DUMMYFUNCTION("IMPORTRANGE(""https://docs.google.com/spreadsheets/d/1eHaY18a8A9IcSdp1K8H6x8fbOy06t2VsZHhMHf-1x7Y/edit?usp=sharing"",""แผน!AE25"")"),4)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106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104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2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18000</v>
      </c>
      <c r="M203" s="45"/>
      <c r="N203" s="547">
        <f>N204+N205+N206+N207</f>
        <v>17500</v>
      </c>
      <c r="O203" s="547">
        <f ca="1">IF(L203&gt;0,N203*100/L203,0)</f>
        <v>97.222222222222229</v>
      </c>
      <c r="P203" s="547">
        <f>IF(M203&gt;0,N203*100/M203,0)</f>
        <v>0</v>
      </c>
      <c r="Q203" s="748">
        <f ca="1">Q204+Q205+Q206+Q207</f>
        <v>14000</v>
      </c>
      <c r="R203" s="314"/>
      <c r="S203" s="747">
        <f>S204+S205+S206+S207</f>
        <v>11370</v>
      </c>
      <c r="T203" s="747">
        <f ca="1">IF(Q203&gt;0,S203*100/Q203,0)</f>
        <v>81.214285714285708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IFERROR(__xludf.DUMMYFUNCTION("IMPORTRANGE(""https://docs.google.com/spreadsheets/d/1eHaY18a8A9IcSdp1K8H6x8fbOy06t2VsZHhMHf-1x7Y/edit?usp=sharing"",""แผน!AG25"")"),2000)</f>
        <v>2000</v>
      </c>
      <c r="M204" s="45"/>
      <c r="N204" s="737">
        <v>1500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IFERROR(__xludf.DUMMYFUNCTION("IMPORTRANGE(""https://docs.google.com/spreadsheets/d/1eHaY18a8A9IcSdp1K8H6x8fbOy06t2VsZHhMHf-1x7Y/edit?usp=sharing"",""แผน!AH25"")"),0)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IFERROR(__xludf.DUMMYFUNCTION("IMPORTRANGE(""https://docs.google.com/spreadsheets/d/1eHaY18a8A9IcSdp1K8H6x8fbOy06t2VsZHhMHf-1x7Y/edit?usp=sharing"",""แผน!AI25"")"),8000)</f>
        <v>8000</v>
      </c>
      <c r="M206" s="45"/>
      <c r="N206" s="737">
        <v>8000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IFERROR(__xludf.DUMMYFUNCTION("IMPORTRANGE(""https://docs.google.com/spreadsheets/d/1eHaY18a8A9IcSdp1K8H6x8fbOy06t2VsZHhMHf-1x7Y/edit?usp=sharing"",""แผน!LV25"")"),14000)</f>
        <v>14000</v>
      </c>
      <c r="R206" s="45"/>
      <c r="S206" s="737">
        <v>11370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IFERROR(__xludf.DUMMYFUNCTION("IMPORTRANGE(""https://docs.google.com/spreadsheets/d/1eHaY18a8A9IcSdp1K8H6x8fbOy06t2VsZHhMHf-1x7Y/edit?usp=sharing"",""แผน!AJ25"")"),8000)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IFERROR(__xludf.DUMMYFUNCTION("IMPORTRANGE(""https://docs.google.com/spreadsheets/d/1eHaY18a8A9IcSdp1K8H6x8fbOy06t2VsZHhMHf-1x7Y/edit?usp=sharing"",""แผน!AK25"")"),2)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IFERROR(__xludf.DUMMYFUNCTION("IMPORTRANGE(""https://docs.google.com/spreadsheets/d/1eHaY18a8A9IcSdp1K8H6x8fbOy06t2VsZHhMHf-1x7Y/edit?usp=sharing"",""แผน!JX25"")"),2)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IFERROR(__xludf.DUMMYFUNCTION("IMPORTRANGE(""https://docs.google.com/spreadsheets/d/1eHaY18a8A9IcSdp1K8H6x8fbOy06t2VsZHhMHf-1x7Y/edit?usp=sharing"",""แผน!JY25"")"),0)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IFERROR(__xludf.DUMMYFUNCTION("IMPORTRANGE(""https://docs.google.com/spreadsheets/d/1eHaY18a8A9IcSdp1K8H6x8fbOy06t2VsZHhMHf-1x7Y/edit?usp=sharing"",""แผน!AM25"")"),0)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IFERROR(__xludf.DUMMYFUNCTION("IMPORTRANGE(""https://docs.google.com/spreadsheets/d/1eHaY18a8A9IcSdp1K8H6x8fbOy06t2VsZHhMHf-1x7Y/edit?usp=sharing"",""แผน!AN25"")"),0)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IFERROR(__xludf.DUMMYFUNCTION("IMPORTRANGE(""https://docs.google.com/spreadsheets/d/1eHaY18a8A9IcSdp1K8H6x8fbOy06t2VsZHhMHf-1x7Y/edit?usp=sharing"",""แผน!AO25"")"),0)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IFERROR(__xludf.DUMMYFUNCTION("IMPORTRANGE(""https://docs.google.com/spreadsheets/d/1eHaY18a8A9IcSdp1K8H6x8fbOy06t2VsZHhMHf-1x7Y/edit?usp=sharing"",""แผน!LY25"")"),0)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IFERROR(__xludf.DUMMYFUNCTION("IMPORTRANGE(""https://docs.google.com/spreadsheets/d/1eHaY18a8A9IcSdp1K8H6x8fbOy06t2VsZHhMHf-1x7Y/edit?usp=sharing"",""แผน!AP25"")"),0)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IFERROR(__xludf.DUMMYFUNCTION("IMPORTRANGE(""https://docs.google.com/spreadsheets/d/1eHaY18a8A9IcSdp1K8H6x8fbOy06t2VsZHhMHf-1x7Y/edit?usp=sharing"",""แผน!AP25"")"),0)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12500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IFERROR(__xludf.DUMMYFUNCTION("IMPORTRANGE(""https://docs.google.com/spreadsheets/d/1eHaY18a8A9IcSdp1K8H6x8fbOy06t2VsZHhMHf-1x7Y/edit?usp=sharing"",""แผน!AR25"")"),2500)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IFERROR(__xludf.DUMMYFUNCTION("IMPORTRANGE(""https://docs.google.com/spreadsheets/d/1eHaY18a8A9IcSdp1K8H6x8fbOy06t2VsZHhMHf-1x7Y/edit?usp=sharing"",""แผน!AS25"")"),10000)</f>
        <v>10000</v>
      </c>
      <c r="M224" s="45"/>
      <c r="N224" s="737">
        <v>10000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IFERROR(__xludf.DUMMYFUNCTION("IMPORTRANGE(""https://docs.google.com/spreadsheets/d/1eHaY18a8A9IcSdp1K8H6x8fbOy06t2VsZHhMHf-1x7Y/edit?usp=sharing"",""แผน!AT25"")"),0)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IFERROR(__xludf.DUMMYFUNCTION("IMPORTRANGE(""https://docs.google.com/spreadsheets/d/1eHaY18a8A9IcSdp1K8H6x8fbOy06t2VsZHhMHf-1x7Y/edit?usp=sharing"",""แผน!AV25"")"),100000)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IFERROR(__xludf.DUMMYFUNCTION("IMPORTRANGE(""https://docs.google.com/spreadsheets/d/1eHaY18a8A9IcSdp1K8H6x8fbOy06t2VsZHhMHf-1x7Y/edit?usp=sharing"",""แผน!AV25"")"),100000)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IFERROR(__xludf.DUMMYFUNCTION("IMPORTRANGE(""https://docs.google.com/spreadsheets/d/1eHaY18a8A9IcSdp1K8H6x8fbOy06t2VsZHhMHf-1x7Y/edit?usp=sharing"",""แผน!AU25"")"),0)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IFERROR(__xludf.DUMMYFUNCTION("IMPORTRANGE(""https://docs.google.com/spreadsheets/d/1eHaY18a8A9IcSdp1K8H6x8fbOy06t2VsZHhMHf-1x7Y/edit?usp=sharing"",""แผน!AX25"")"),0)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IFERROR(__xludf.DUMMYFUNCTION("IMPORTRANGE(""https://docs.google.com/spreadsheets/d/1eHaY18a8A9IcSdp1K8H6x8fbOy06t2VsZHhMHf-1x7Y/edit?usp=sharing"",""แผน!AY25"")"),0)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IFERROR(__xludf.DUMMYFUNCTION("IMPORTRANGE(""https://docs.google.com/spreadsheets/d/1eHaY18a8A9IcSdp1K8H6x8fbOy06t2VsZHhMHf-1x7Y/edit?usp=sharing"",""แผน!AZ25"")"),0)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IFERROR(__xludf.DUMMYFUNCTION("IMPORTRANGE(""https://docs.google.com/spreadsheets/d/1eHaY18a8A9IcSdp1K8H6x8fbOy06t2VsZHhMHf-1x7Y/edit?usp=sharing"",""แผน!BA25"")"),0)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IFERROR(__xludf.DUMMYFUNCTION("IMPORTRANGE(""https://docs.google.com/spreadsheets/d/1eHaY18a8A9IcSdp1K8H6x8fbOy06t2VsZHhMHf-1x7Y/edit?usp=sharing"",""แผน!BG25"")"),0)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IFERROR(__xludf.DUMMYFUNCTION("IMPORTRANGE(""https://docs.google.com/spreadsheets/d/1eHaY18a8A9IcSdp1K8H6x8fbOy06t2VsZHhMHf-1x7Y/edit?usp=sharing"",""แผน!BB25"")"),0)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IFERROR(__xludf.DUMMYFUNCTION("IMPORTRANGE(""https://docs.google.com/spreadsheets/d/1eHaY18a8A9IcSdp1K8H6x8fbOy06t2VsZHhMHf-1x7Y/edit?usp=sharing"",""แผน!BC25"")"),0)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IFERROR(__xludf.DUMMYFUNCTION("IMPORTRANGE(""https://docs.google.com/spreadsheets/d/1eHaY18a8A9IcSdp1K8H6x8fbOy06t2VsZHhMHf-1x7Y/edit?usp=sharing"",""แผน!BD25"")"),0)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IFERROR(__xludf.DUMMYFUNCTION("IMPORTRANGE(""https://docs.google.com/spreadsheets/d/1eHaY18a8A9IcSdp1K8H6x8fbOy06t2VsZHhMHf-1x7Y/edit?usp=sharing"",""แผน!BE25"")"),0)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IFERROR(__xludf.DUMMYFUNCTION("IMPORTRANGE(""https://docs.google.com/spreadsheets/d/1eHaY18a8A9IcSdp1K8H6x8fbOy06t2VsZHhMHf-1x7Y/edit?usp=sharing"",""แผน!BH25"")"),0)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20</v>
      </c>
      <c r="J265" s="721">
        <f>J276</f>
        <v>20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23600</v>
      </c>
      <c r="N266" s="715">
        <f ca="1">N267+N268</f>
        <v>14570</v>
      </c>
      <c r="O266" s="715">
        <f ca="1">IF(L266&gt;0,N266*100/L266,0)</f>
        <v>291.39999999999998</v>
      </c>
      <c r="P266" s="715">
        <f ca="1">IF(M266&gt;0,N266*100/M266,0)</f>
        <v>61.737288135593218</v>
      </c>
      <c r="Q266" s="715">
        <f ca="1">Q267+Q268</f>
        <v>47880</v>
      </c>
      <c r="R266" s="715">
        <f ca="1">R267+R268</f>
        <v>47880</v>
      </c>
      <c r="S266" s="715">
        <f ca="1">S267+S268</f>
        <v>41740</v>
      </c>
      <c r="T266" s="715">
        <f ca="1">IF(Q266&gt;0,S266*100/Q266,0)</f>
        <v>87.176274018379289</v>
      </c>
      <c r="U266" s="715">
        <f ca="1">IF(R266&gt;0,S266*100/R266,0)</f>
        <v>87.176274018379289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23600</v>
      </c>
      <c r="N268" s="558">
        <f ca="1">N271+N274</f>
        <v>14570</v>
      </c>
      <c r="O268" s="558">
        <f ca="1">IF(L268&gt;0,N268*100/L268,0)</f>
        <v>291.39999999999998</v>
      </c>
      <c r="P268" s="558">
        <f ca="1">IF(M268&gt;0,N268*100/M268,0)</f>
        <v>61.737288135593218</v>
      </c>
      <c r="Q268" s="558">
        <f ca="1">Q271+Q274</f>
        <v>47880</v>
      </c>
      <c r="R268" s="558">
        <f ca="1">R271+R274</f>
        <v>47880</v>
      </c>
      <c r="S268" s="558">
        <f ca="1">S271+S274</f>
        <v>41740</v>
      </c>
      <c r="T268" s="558">
        <f ca="1">IF(Q268&gt;0,S268*100/Q268,0)</f>
        <v>87.176274018379289</v>
      </c>
      <c r="U268" s="558">
        <f ca="1">IF(R268&gt;0,S268*100/R268,0)</f>
        <v>87.176274018379289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23600</v>
      </c>
      <c r="N269" s="558">
        <f ca="1">N270+N271</f>
        <v>14570</v>
      </c>
      <c r="O269" s="558">
        <f ca="1">IF(L269&gt;0,N269*100/L269,0)</f>
        <v>291.39999999999998</v>
      </c>
      <c r="P269" s="558">
        <f ca="1">IF(M269&gt;0,N269*100/M269,0)</f>
        <v>61.737288135593218</v>
      </c>
      <c r="Q269" s="558">
        <f ca="1">Q270+Q271</f>
        <v>47880</v>
      </c>
      <c r="R269" s="558">
        <f ca="1">R270+R271</f>
        <v>47880</v>
      </c>
      <c r="S269" s="558">
        <f ca="1">S270+S271</f>
        <v>41740</v>
      </c>
      <c r="T269" s="558">
        <f ca="1">IF(Q269&gt;0,S269*100/Q269,0)</f>
        <v>87.176274018379289</v>
      </c>
      <c r="U269" s="558">
        <f ca="1">IF(R269&gt;0,S269*100/R269,0)</f>
        <v>87.176274018379289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IFERROR(__xludf.DUMMYFUNCTION("IMPORTRANGE(""https://docs.google.com/spreadsheets/d/1-uDff_7J0KD5mKrp0Vvzr7lt3OU09vwQwhkpOPPYv2Y/edit?usp=sharing"",""งบพรบ!DE25"")"),5000)</f>
        <v>5000</v>
      </c>
      <c r="M271" s="558">
        <f ca="1">IFERROR(__xludf.DUMMYFUNCTION("IMPORTRANGE(""https://docs.google.com/spreadsheets/d/1-uDff_7J0KD5mKrp0Vvzr7lt3OU09vwQwhkpOPPYv2Y/edit?usp=sharing"",""งบพรบ!DJ25"")"),23600)</f>
        <v>23600</v>
      </c>
      <c r="N271" s="558">
        <f ca="1">IFERROR(__xludf.DUMMYFUNCTION("IMPORTRANGE(""https://docs.google.com/spreadsheets/d/1-uDff_7J0KD5mKrp0Vvzr7lt3OU09vwQwhkpOPPYv2Y/edit?usp=sharing"",""งบพรบ!DL25"")"),14570)</f>
        <v>14570</v>
      </c>
      <c r="O271" s="558">
        <f ca="1">IF(L271&gt;0,N271*100/L271,0)</f>
        <v>291.39999999999998</v>
      </c>
      <c r="P271" s="558">
        <f ca="1">IF(M271&gt;0,N271*100/M271,0)</f>
        <v>61.737288135593218</v>
      </c>
      <c r="Q271" s="558">
        <f ca="1">IFERROR(__xludf.DUMMYFUNCTION("IMPORTRANGE(""https://docs.google.com/spreadsheets/d/1ItG2mGa2ceCfYo0BwxsXqNm01IGEUdYcSSLTEv9YCik/edit?usp=sharing"",""เบิกจ่ายกองทุน!AP25"")"),47880)</f>
        <v>47880</v>
      </c>
      <c r="R271" s="558">
        <f ca="1">IFERROR(__xludf.DUMMYFUNCTION("IMPORTRANGE(""https://docs.google.com/spreadsheets/d/1ItG2mGa2ceCfYo0BwxsXqNm01IGEUdYcSSLTEv9YCik/edit?usp=sharing"",""เบิกจ่ายกองทุน!AQ25"")"),47880)</f>
        <v>47880</v>
      </c>
      <c r="S271" s="558">
        <f ca="1">IFERROR(__xludf.DUMMYFUNCTION("IMPORTRANGE(""https://docs.google.com/spreadsheets/d/1ItG2mGa2ceCfYo0BwxsXqNm01IGEUdYcSSLTEv9YCik/edit?usp=sharing"",""เบิกจ่ายกองทุน!AR25"")"),41740)</f>
        <v>41740</v>
      </c>
      <c r="T271" s="558">
        <f ca="1">IF(Q271&gt;0,S271*100/Q271,0)</f>
        <v>87.176274018379289</v>
      </c>
      <c r="U271" s="558">
        <f ca="1">IF(R271&gt;0,S271*100/R271,0)</f>
        <v>87.176274018379289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IFERROR(__xludf.DUMMYFUNCTION("IMPORTRANGE(""https://docs.google.com/spreadsheets/d/1-uDff_7J0KD5mKrp0Vvzr7lt3OU09vwQwhkpOPPYv2Y/edit?usp=sharing"",""งบพรบ!DH25"")"),0)</f>
        <v>0</v>
      </c>
      <c r="M274" s="558">
        <f ca="1">IFERROR(__xludf.DUMMYFUNCTION("IMPORTRANGE(""https://docs.google.com/spreadsheets/d/1-uDff_7J0KD5mKrp0Vvzr7lt3OU09vwQwhkpOPPYv2Y/edit?usp=sharing"",""งบพรบ!DK25"")"),0)</f>
        <v>0</v>
      </c>
      <c r="N274" s="558">
        <f ca="1">IFERROR(__xludf.DUMMYFUNCTION("IMPORTRANGE(""https://docs.google.com/spreadsheets/d/1-uDff_7J0KD5mKrp0Vvzr7lt3OU09vwQwhkpOPPYv2Y/edit?usp=sharing"",""งบพรบ!DM25"")"),0)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IFERROR(__xludf.DUMMYFUNCTION("IMPORTRANGE(""https://docs.google.com/spreadsheets/d/1eHaY18a8A9IcSdp1K8H6x8fbOy06t2VsZHhMHf-1x7Y/edit?usp=sharing"",""แผน!EC25"")"),20)</f>
        <v>20</v>
      </c>
      <c r="J276" s="377">
        <v>20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21</v>
      </c>
      <c r="K280" s="696">
        <f ca="1">IF(I280&gt;0,J280*100/I280,0)</f>
        <v>210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185220</v>
      </c>
      <c r="M282" s="547">
        <f ca="1">M283+M284</f>
        <v>185220</v>
      </c>
      <c r="N282" s="547">
        <f ca="1">N283+N284</f>
        <v>159180.96</v>
      </c>
      <c r="O282" s="547">
        <f ca="1">IF(L282&gt;0,N282*100/L282,0)</f>
        <v>85.941561386459341</v>
      </c>
      <c r="P282" s="547">
        <f ca="1">IF(M282&gt;0,N282*100/M282,0)</f>
        <v>85.941561386459341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185220</v>
      </c>
      <c r="M284" s="224">
        <f ca="1">M287+M290</f>
        <v>185220</v>
      </c>
      <c r="N284" s="224">
        <f ca="1">N287+N290</f>
        <v>159180.96</v>
      </c>
      <c r="O284" s="224">
        <f ca="1">IF(L284&gt;0,N284*100/L284,0)</f>
        <v>85.941561386459341</v>
      </c>
      <c r="P284" s="224">
        <f ca="1">IF(M284&gt;0,N284*100/M284,0)</f>
        <v>85.941561386459341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185220</v>
      </c>
      <c r="M285" s="224">
        <f ca="1">M286+M287</f>
        <v>185220</v>
      </c>
      <c r="N285" s="224">
        <f ca="1">N286+N287</f>
        <v>159180.96</v>
      </c>
      <c r="O285" s="224">
        <f ca="1">IF(L285&gt;0,N285*100/L285,0)</f>
        <v>85.941561386459341</v>
      </c>
      <c r="P285" s="224">
        <f ca="1">IF(M285&gt;0,N285*100/M285,0)</f>
        <v>85.941561386459341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IFERROR(__xludf.DUMMYFUNCTION("IMPORTRANGE(""https://docs.google.com/spreadsheets/d/1-uDff_7J0KD5mKrp0Vvzr7lt3OU09vwQwhkpOPPYv2Y/edit?usp=sharing"",""งบพรบ!DO25"")"),185220)</f>
        <v>185220</v>
      </c>
      <c r="M287" s="224">
        <f ca="1">IFERROR(__xludf.DUMMYFUNCTION("IMPORTRANGE(""https://docs.google.com/spreadsheets/d/1-uDff_7J0KD5mKrp0Vvzr7lt3OU09vwQwhkpOPPYv2Y/edit?usp=sharing"",""งบพรบ!DT25"")"),185220)</f>
        <v>185220</v>
      </c>
      <c r="N287" s="224">
        <f ca="1">IFERROR(__xludf.DUMMYFUNCTION("IMPORTRANGE(""https://docs.google.com/spreadsheets/d/1-uDff_7J0KD5mKrp0Vvzr7lt3OU09vwQwhkpOPPYv2Y/edit?usp=sharing"",""งบพรบ!DV25"")"),159180.96)</f>
        <v>159180.96</v>
      </c>
      <c r="O287" s="224">
        <f ca="1">IF(L287&gt;0,N287*100/L287,0)</f>
        <v>85.941561386459341</v>
      </c>
      <c r="P287" s="224">
        <f ca="1">IF(M287&gt;0,N287*100/M287,0)</f>
        <v>85.941561386459341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IFERROR(__xludf.DUMMYFUNCTION("IMPORTRANGE(""https://docs.google.com/spreadsheets/d/1-uDff_7J0KD5mKrp0Vvzr7lt3OU09vwQwhkpOPPYv2Y/edit?usp=sharing"",""งบพรบ!DR25"")"),0)</f>
        <v>0</v>
      </c>
      <c r="M290" s="224">
        <f ca="1">IFERROR(__xludf.DUMMYFUNCTION("IMPORTRANGE(""https://docs.google.com/spreadsheets/d/1-uDff_7J0KD5mKrp0Vvzr7lt3OU09vwQwhkpOPPYv2Y/edit?usp=sharing"",""งบพรบ!DU25"")"),0)</f>
        <v>0</v>
      </c>
      <c r="N290" s="224">
        <f ca="1">IFERROR(__xludf.DUMMYFUNCTION("IMPORTRANGE(""https://docs.google.com/spreadsheets/d/1-uDff_7J0KD5mKrp0Vvzr7lt3OU09vwQwhkpOPPYv2Y/edit?usp=sharing"",""งบพรบ!DW25"")"),0)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IFERROR(__xludf.DUMMYFUNCTION("IMPORTRANGE(""https://docs.google.com/spreadsheets/d/1eHaY18a8A9IcSdp1K8H6x8fbOy06t2VsZHhMHf-1x7Y/edit?usp=sharing"",""แผน!EE25"")"),100)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IFERROR(__xludf.DUMMYFUNCTION("IMPORTRANGE(""https://docs.google.com/spreadsheets/d/1eHaY18a8A9IcSdp1K8H6x8fbOy06t2VsZHhMHf-1x7Y/edit?usp=sharing"",""แผน!ED25"")"),10)</f>
        <v>10</v>
      </c>
      <c r="J293" s="338">
        <f>J296</f>
        <v>21</v>
      </c>
      <c r="K293" s="694">
        <f ca="1">IF(I293&gt;0,J293*100/I293,0)</f>
        <v>210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IFERROR(__xludf.DUMMYFUNCTION("IMPORTRANGE(""https://docs.google.com/spreadsheets/d/1eHaY18a8A9IcSdp1K8H6x8fbOy06t2VsZHhMHf-1x7Y/edit?usp=sharing"",""แผน!ED25"")"),10)</f>
        <v>10</v>
      </c>
      <c r="J295" s="380">
        <v>21</v>
      </c>
      <c r="K295" s="569">
        <f ca="1">IF(I295&gt;0,J295*100/I295,0)</f>
        <v>210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IFERROR(__xludf.DUMMYFUNCTION("IMPORTRANGE(""https://docs.google.com/spreadsheets/d/1eHaY18a8A9IcSdp1K8H6x8fbOy06t2VsZHhMHf-1x7Y/edit?usp=sharing"",""แผน!ED25"")"),10)</f>
        <v>10</v>
      </c>
      <c r="J296" s="380">
        <v>21</v>
      </c>
      <c r="K296" s="569">
        <f ca="1">IF(I296&gt;0,J296*100/I296,0)</f>
        <v>210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IFERROR(__xludf.DUMMYFUNCTION("IMPORTRANGE(""https://docs.google.com/spreadsheets/d/1eHaY18a8A9IcSdp1K8H6x8fbOy06t2VsZHhMHf-1x7Y/edit?usp=sharing"",""แผน!ED25"")"),10)</f>
        <v>10</v>
      </c>
      <c r="J298" s="380">
        <v>0</v>
      </c>
      <c r="K298" s="569">
        <f ca="1">IF(I298&gt;0,J298*100/I298,0)</f>
        <v>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IFERROR(__xludf.DUMMYFUNCTION("IMPORTRANGE(""https://docs.google.com/spreadsheets/d/1eHaY18a8A9IcSdp1K8H6x8fbOy06t2VsZHhMHf-1x7Y/edit?usp=sharing"",""แผน!ED25"")"),10)</f>
        <v>10</v>
      </c>
      <c r="J299" s="380">
        <v>0</v>
      </c>
      <c r="K299" s="569">
        <f ca="1">IF(I299&gt;0,J299*100/I299,0)</f>
        <v>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227561</v>
      </c>
      <c r="T303" s="547">
        <f ca="1">IF(Q303&gt;0,S303*100/Q303,0)</f>
        <v>99.765716439950836</v>
      </c>
      <c r="U303" s="547">
        <f ca="1">IF(R303&gt;0,S303*100/R303,0)</f>
        <v>97.962074086829247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227561</v>
      </c>
      <c r="T305" s="224">
        <f ca="1">IF(Q305&gt;0,S305*100/Q305,0)</f>
        <v>99.765716439950836</v>
      </c>
      <c r="U305" s="224">
        <f ca="1">IF(R305&gt;0,S305*100/R305,0)</f>
        <v>97.962074086829247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227561</v>
      </c>
      <c r="T306" s="224">
        <f ca="1">IF(Q306&gt;0,S306*100/Q306,0)</f>
        <v>99.765716439950836</v>
      </c>
      <c r="U306" s="224">
        <f ca="1">IF(R306&gt;0,S306*100/R306,0)</f>
        <v>97.962074086829247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IFERROR(__xludf.DUMMYFUNCTION("IMPORTRANGE(""https://docs.google.com/spreadsheets/d/1-uDff_7J0KD5mKrp0Vvzr7lt3OU09vwQwhkpOPPYv2Y/edit?usp=sharing"",""งบพรบ!DY25"")"),0)</f>
        <v>0</v>
      </c>
      <c r="M308" s="224">
        <f ca="1">IFERROR(__xludf.DUMMYFUNCTION("IMPORTRANGE(""https://docs.google.com/spreadsheets/d/1-uDff_7J0KD5mKrp0Vvzr7lt3OU09vwQwhkpOPPYv2Y/edit?usp=sharing"",""งบพรบ!ED25"")"),0)</f>
        <v>0</v>
      </c>
      <c r="N308" s="224">
        <f ca="1">IFERROR(__xludf.DUMMYFUNCTION("IMPORTRANGE(""https://docs.google.com/spreadsheets/d/1-uDff_7J0KD5mKrp0Vvzr7lt3OU09vwQwhkpOPPYv2Y/edit?usp=sharing"",""งบพรบ!EF25"")"),0)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IFERROR(__xludf.DUMMYFUNCTION("IMPORTRANGE(""https://docs.google.com/spreadsheets/d/1ItG2mGa2ceCfYo0BwxsXqNm01IGEUdYcSSLTEv9YCik/edit?usp=sharing"",""เบิกจ่ายกองทุน!BB25"")"),228095.39)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IFERROR(__xludf.DUMMYFUNCTION("IMPORTRANGE(""https://docs.google.com/spreadsheets/d/1ItG2mGa2ceCfYo0BwxsXqNm01IGEUdYcSSLTEv9YCik/edit?usp=sharing"",""เบิกจ่ายกองทุน!BC25"")"),232295)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IFERROR(__xludf.DUMMYFUNCTION("IMPORTRANGE(""https://docs.google.com/spreadsheets/d/1ItG2mGa2ceCfYo0BwxsXqNm01IGEUdYcSSLTEv9YCik/edit?usp=sharing"",""เบิกจ่ายกองทุน!BD25"")"),227561)</f>
        <v>227561</v>
      </c>
      <c r="T308" s="224">
        <f ca="1">IF(Q308&gt;0,S308*100/Q308,0)</f>
        <v>99.765716439950836</v>
      </c>
      <c r="U308" s="224">
        <f ca="1">IF(R308&gt;0,S308*100/R308,0)</f>
        <v>97.962074086829247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IFERROR(__xludf.DUMMYFUNCTION("IMPORTRANGE(""https://docs.google.com/spreadsheets/d/1-uDff_7J0KD5mKrp0Vvzr7lt3OU09vwQwhkpOPPYv2Y/edit?usp=sharing"",""งบพรบ!EB25"")"),0)</f>
        <v>0</v>
      </c>
      <c r="M311" s="224">
        <f ca="1">IFERROR(__xludf.DUMMYFUNCTION("IMPORTRANGE(""https://docs.google.com/spreadsheets/d/1-uDff_7J0KD5mKrp0Vvzr7lt3OU09vwQwhkpOPPYv2Y/edit?usp=sharing"",""งบพรบ!EE25"")"),0)</f>
        <v>0</v>
      </c>
      <c r="N311" s="224">
        <f ca="1">IFERROR(__xludf.DUMMYFUNCTION("IMPORTRANGE(""https://docs.google.com/spreadsheets/d/1-uDff_7J0KD5mKrp0Vvzr7lt3OU09vwQwhkpOPPYv2Y/edit?usp=sharing"",""งบพรบ!EG25"")"),0)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IFERROR(__xludf.DUMMYFUNCTION("IMPORTRANGE(""https://docs.google.com/spreadsheets/d/1eHaY18a8A9IcSdp1K8H6x8fbOy06t2VsZHhMHf-1x7Y/edit?usp=sharing"",""แผน!EF25"")"),25)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IFERROR(__xludf.DUMMYFUNCTION("IMPORTRANGE(""https://docs.google.com/spreadsheets/d/1-uDff_7J0KD5mKrp0Vvzr7lt3OU09vwQwhkpOPPYv2Y/edit?usp=sharing"",""งบพรบ!EI25"")"),0)</f>
        <v>0</v>
      </c>
      <c r="M325" s="224">
        <f ca="1">IFERROR(__xludf.DUMMYFUNCTION("IMPORTRANGE(""https://docs.google.com/spreadsheets/d/1-uDff_7J0KD5mKrp0Vvzr7lt3OU09vwQwhkpOPPYv2Y/edit?usp=sharing"",""งบพรบ!EN25"")"),0)</f>
        <v>0</v>
      </c>
      <c r="N325" s="224">
        <f ca="1">IFERROR(__xludf.DUMMYFUNCTION("IMPORTRANGE(""https://docs.google.com/spreadsheets/d/1-uDff_7J0KD5mKrp0Vvzr7lt3OU09vwQwhkpOPPYv2Y/edit?usp=sharing"",""งบพรบ!EP25"")"),0)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IFERROR(__xludf.DUMMYFUNCTION("IMPORTRANGE(""https://docs.google.com/spreadsheets/d/1-uDff_7J0KD5mKrp0Vvzr7lt3OU09vwQwhkpOPPYv2Y/edit?usp=sharing"",""งบพรบ!EL25"")"),0)</f>
        <v>0</v>
      </c>
      <c r="M328" s="224">
        <f ca="1">IFERROR(__xludf.DUMMYFUNCTION("IMPORTRANGE(""https://docs.google.com/spreadsheets/d/1-uDff_7J0KD5mKrp0Vvzr7lt3OU09vwQwhkpOPPYv2Y/edit?usp=sharing"",""งบพรบ!EO25"")"),0)</f>
        <v>0</v>
      </c>
      <c r="N328" s="224">
        <f ca="1">IFERROR(__xludf.DUMMYFUNCTION("IMPORTRANGE(""https://docs.google.com/spreadsheets/d/1-uDff_7J0KD5mKrp0Vvzr7lt3OU09vwQwhkpOPPYv2Y/edit?usp=sharing"",""งบพรบ!EQ25"")"),0)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IFERROR(__xludf.DUMMYFUNCTION("IMPORTRANGE(""https://docs.google.com/spreadsheets/d/1eHaY18a8A9IcSdp1K8H6x8fbOy06t2VsZHhMHf-1x7Y/edit?usp=sharing"",""แผน!EJ25"")"),0)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IFERROR(__xludf.DUMMYFUNCTION("IMPORTRANGE(""https://docs.google.com/spreadsheets/d/1eHaY18a8A9IcSdp1K8H6x8fbOy06t2VsZHhMHf-1x7Y/edit?usp=sharing"",""แผน!EK25"")"),400)</f>
        <v>400</v>
      </c>
      <c r="J332" s="300">
        <f ca="1">J344+J347+J348+J349+J353+J354</f>
        <v>1965</v>
      </c>
      <c r="K332" s="679">
        <f ca="1">IF(I332&gt;0,J332*100/I332,0)</f>
        <v>491.25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131421.79999999999</v>
      </c>
      <c r="O333" s="547">
        <f ca="1">IF(L333&gt;0,N333*100/L333,0)</f>
        <v>73.012111111111096</v>
      </c>
      <c r="P333" s="547">
        <f ca="1">IF(M333&gt;0,N333*100/M333,0)</f>
        <v>73.012111111111096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131421.79999999999</v>
      </c>
      <c r="O335" s="224">
        <f ca="1">IF(L335&gt;0,N335*100/L335,0)</f>
        <v>73.012111111111096</v>
      </c>
      <c r="P335" s="224">
        <f ca="1">IF(M335&gt;0,N335*100/M335,0)</f>
        <v>73.012111111111096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131421.79999999999</v>
      </c>
      <c r="O336" s="224">
        <f ca="1">IF(L336&gt;0,N336*100/L336,0)</f>
        <v>73.012111111111096</v>
      </c>
      <c r="P336" s="224">
        <f ca="1">IF(M336&gt;0,N336*100/M336,0)</f>
        <v>73.012111111111096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IFERROR(__xludf.DUMMYFUNCTION("IMPORTRANGE(""https://docs.google.com/spreadsheets/d/1-uDff_7J0KD5mKrp0Vvzr7lt3OU09vwQwhkpOPPYv2Y/edit?usp=sharing"",""งบพรบ!ES25"")"),180000)</f>
        <v>180000</v>
      </c>
      <c r="M338" s="224">
        <f ca="1">IFERROR(__xludf.DUMMYFUNCTION("IMPORTRANGE(""https://docs.google.com/spreadsheets/d/1-uDff_7J0KD5mKrp0Vvzr7lt3OU09vwQwhkpOPPYv2Y/edit?usp=sharing"",""งบพรบ!EX25"")"),180000)</f>
        <v>180000</v>
      </c>
      <c r="N338" s="224">
        <f ca="1">IFERROR(__xludf.DUMMYFUNCTION("IMPORTRANGE(""https://docs.google.com/spreadsheets/d/1-uDff_7J0KD5mKrp0Vvzr7lt3OU09vwQwhkpOPPYv2Y/edit?usp=sharing"",""งบพรบ!EZ25"")"),131421.8)</f>
        <v>131421.79999999999</v>
      </c>
      <c r="O338" s="224">
        <f ca="1">IF(L338&gt;0,N338*100/L338,0)</f>
        <v>73.012111111111096</v>
      </c>
      <c r="P338" s="224">
        <f ca="1">IF(M338&gt;0,N338*100/M338,0)</f>
        <v>73.012111111111096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IFERROR(__xludf.DUMMYFUNCTION("IMPORTRANGE(""https://docs.google.com/spreadsheets/d/1-uDff_7J0KD5mKrp0Vvzr7lt3OU09vwQwhkpOPPYv2Y/edit?usp=sharing"",""งบพรบ!EV25"")"),0)</f>
        <v>0</v>
      </c>
      <c r="M341" s="224">
        <f ca="1">IFERROR(__xludf.DUMMYFUNCTION("IMPORTRANGE(""https://docs.google.com/spreadsheets/d/1-uDff_7J0KD5mKrp0Vvzr7lt3OU09vwQwhkpOPPYv2Y/edit?usp=sharing"",""งบพรบ!EY25"")"),0)</f>
        <v>0</v>
      </c>
      <c r="N341" s="224">
        <f ca="1">IFERROR(__xludf.DUMMYFUNCTION("IMPORTRANGE(""https://docs.google.com/spreadsheets/d/1-uDff_7J0KD5mKrp0Vvzr7lt3OU09vwQwhkpOPPYv2Y/edit?usp=sharing"",""งบพรบ!FA25"")"),0)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393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IFERROR(__xludf.DUMMYFUNCTION("IMPORTRANGE(""https://docs.google.com/spreadsheets/d/1awYsYK3VOup2i3Pq_Yjnu8DRu_mYwSBnCR2QPthd0rU/edit?usp=sharing"",""ศูนย์ยกเว้นโฉนด!D25"")"),283)</f>
        <v>283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IFERROR(__xludf.DUMMYFUNCTION("IMPORTRANGE(""https://docs.google.com/spreadsheets/d/1eHaY18a8A9IcSdp1K8H6x8fbOy06t2VsZHhMHf-1x7Y/edit?usp=sharing"",""แผน!EL25"")"),6)</f>
        <v>6</v>
      </c>
      <c r="J346" s="184">
        <f ca="1">IFERROR(__xludf.DUMMYFUNCTION("IMPORTRANGE(""https://docs.google.com/spreadsheets/d/1awYsYK3VOup2i3Pq_Yjnu8DRu_mYwSBnCR2QPthd0rU/edit?usp=sharing"",""ศูนย์รวม!E25"")"),3)</f>
        <v>3</v>
      </c>
      <c r="K346" s="224">
        <f ca="1">IF(I346&gt;0,J346*100/I346,0)</f>
        <v>50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IFERROR(__xludf.DUMMYFUNCTION("IMPORTRANGE(""https://docs.google.com/spreadsheets/d/1awYsYK3VOup2i3Pq_Yjnu8DRu_mYwSBnCR2QPthd0rU/edit?usp=sharing"",""ศูนย์ยกเว้นโฉนด!F25"")"),37)</f>
        <v>37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IFERROR(__xludf.DUMMYFUNCTION("IMPORTRANGE(""https://docs.google.com/spreadsheets/d/1awYsYK3VOup2i3Pq_Yjnu8DRu_mYwSBnCR2QPthd0rU/edit?usp=sharing"",""ศูนย์ยกเว้นโฉนด!G25"")"),11)</f>
        <v>11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IFERROR(__xludf.DUMMYFUNCTION("IMPORTRANGE(""https://docs.google.com/spreadsheets/d/1awYsYK3VOup2i3Pq_Yjnu8DRu_mYwSBnCR2QPthd0rU/edit?usp=sharing"",""ศูนย์ยกเว้นโฉนด!H25"")"),62)</f>
        <v>62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1572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IFERROR(__xludf.DUMMYFUNCTION("IMPORTRANGE(""https://docs.google.com/spreadsheets/d/1awYsYK3VOup2i3Pq_Yjnu8DRu_mYwSBnCR2QPthd0rU/edit?usp=sharing"",""โฉนดM3!G25"")"),0)</f>
        <v>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IFERROR(__xludf.DUMMYFUNCTION("IMPORTRANGE(""https://docs.google.com/spreadsheets/d/1awYsYK3VOup2i3Pq_Yjnu8DRu_mYwSBnCR2QPthd0rU/edit?usp=sharing"",""โฉนดM3!H25"")"),1048)</f>
        <v>1048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IFERROR(__xludf.DUMMYFUNCTION("IMPORTRANGE(""https://docs.google.com/spreadsheets/d/1awYsYK3VOup2i3Pq_Yjnu8DRu_mYwSBnCR2QPthd0rU/edit?usp=sharing"",""โฉนดM3!I25"")"),524)</f>
        <v>524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745970</v>
      </c>
      <c r="M356" s="547">
        <f ca="1">M357+M358</f>
        <v>833970</v>
      </c>
      <c r="N356" s="547">
        <f ca="1">N357+N358</f>
        <v>543540.1</v>
      </c>
      <c r="O356" s="547">
        <f ca="1">IF(L356&gt;0,N356*100/L356,0)</f>
        <v>72.863533386061107</v>
      </c>
      <c r="P356" s="547">
        <f ca="1">IF(M356&gt;0,N356*100/M356,0)</f>
        <v>65.17501828602947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745970</v>
      </c>
      <c r="M358" s="224">
        <f ca="1">M361+M364</f>
        <v>833970</v>
      </c>
      <c r="N358" s="224">
        <f ca="1">N361+N364</f>
        <v>543540.1</v>
      </c>
      <c r="O358" s="224">
        <f ca="1">IF(L358&gt;0,N358*100/L358,0)</f>
        <v>72.863533386061107</v>
      </c>
      <c r="P358" s="224">
        <f ca="1">IF(M358&gt;0,N358*100/M358,0)</f>
        <v>65.17501828602947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745970</v>
      </c>
      <c r="M359" s="224">
        <f ca="1">M360+M361</f>
        <v>833970</v>
      </c>
      <c r="N359" s="224">
        <f ca="1">N360+N361</f>
        <v>543540.1</v>
      </c>
      <c r="O359" s="224">
        <f ca="1">IF(L359&gt;0,N359*100/L359,0)</f>
        <v>72.863533386061107</v>
      </c>
      <c r="P359" s="224">
        <f ca="1">IF(M359&gt;0,N359*100/M359,0)</f>
        <v>65.17501828602947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IFERROR(__xludf.DUMMYFUNCTION("IMPORTRANGE(""https://docs.google.com/spreadsheets/d/1-uDff_7J0KD5mKrp0Vvzr7lt3OU09vwQwhkpOPPYv2Y/edit?usp=sharing"",""งบพรบ!FC25"")"),745970)</f>
        <v>745970</v>
      </c>
      <c r="M361" s="224">
        <f ca="1">IFERROR(__xludf.DUMMYFUNCTION("IMPORTRANGE(""https://docs.google.com/spreadsheets/d/1-uDff_7J0KD5mKrp0Vvzr7lt3OU09vwQwhkpOPPYv2Y/edit?usp=sharing"",""งบพรบ!FH25"")"),833970)</f>
        <v>833970</v>
      </c>
      <c r="N361" s="224">
        <f ca="1">IFERROR(__xludf.DUMMYFUNCTION("IMPORTRANGE(""https://docs.google.com/spreadsheets/d/1-uDff_7J0KD5mKrp0Vvzr7lt3OU09vwQwhkpOPPYv2Y/edit?usp=sharing"",""งบพรบ!FJ25"")"),543540.1)</f>
        <v>543540.1</v>
      </c>
      <c r="O361" s="224">
        <f ca="1">IF(L361&gt;0,N361*100/L361,0)</f>
        <v>72.863533386061107</v>
      </c>
      <c r="P361" s="224">
        <f ca="1">IF(M361&gt;0,N361*100/M361,0)</f>
        <v>65.17501828602947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IFERROR(__xludf.DUMMYFUNCTION("IMPORTRANGE(""https://docs.google.com/spreadsheets/d/1-uDff_7J0KD5mKrp0Vvzr7lt3OU09vwQwhkpOPPYv2Y/edit?usp=sharing"",""งบพรบ!FF25"")"),0)</f>
        <v>0</v>
      </c>
      <c r="M364" s="224">
        <f ca="1">IFERROR(__xludf.DUMMYFUNCTION("IMPORTRANGE(""https://docs.google.com/spreadsheets/d/1-uDff_7J0KD5mKrp0Vvzr7lt3OU09vwQwhkpOPPYv2Y/edit?usp=sharing"",""งบพรบ!FI25"")"),0)</f>
        <v>0</v>
      </c>
      <c r="N364" s="224">
        <f ca="1">IFERROR(__xludf.DUMMYFUNCTION("IMPORTRANGE(""https://docs.google.com/spreadsheets/d/1-uDff_7J0KD5mKrp0Vvzr7lt3OU09vwQwhkpOPPYv2Y/edit?usp=sharing"",""งบพรบ!FK25"")"),0)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59</v>
      </c>
      <c r="J365" s="302">
        <f ca="1">J371</f>
        <v>33</v>
      </c>
      <c r="K365" s="303">
        <f ca="1">IF(I365&gt;0,J365*100/I365,0)</f>
        <v>55.932203389830505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IFERROR(__xludf.DUMMYFUNCTION("IMPORTRANGE(""https://docs.google.com/spreadsheets/d/1tdoBKaGub7dwA3U6UFTqxio9LNnvDCQjHKmttSEBsFQ/edit?usp=sharing"",""จัดที่ดิน!AB25"")"),19)</f>
        <v>19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IFERROR(__xludf.DUMMYFUNCTION("IMPORTRANGE(""https://docs.google.com/spreadsheets/d/1eHaY18a8A9IcSdp1K8H6x8fbOy06t2VsZHhMHf-1x7Y/edit?usp=sharing"",""แผน!EW25"")"),65)</f>
        <v>65</v>
      </c>
      <c r="J368" s="668">
        <f ca="1">IFERROR(__xludf.DUMMYFUNCTION("IMPORTRANGE(""https://docs.google.com/spreadsheets/d/1tdoBKaGub7dwA3U6UFTqxio9LNnvDCQjHKmttSEBsFQ/edit?usp=sharing"",""จัดที่ดิน!AC25"")"),20.31)</f>
        <v>20.309999999999999</v>
      </c>
      <c r="K368" s="224">
        <f ca="1">IF(I368&gt;0,J368*100/I368,0)</f>
        <v>31.246153846153842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IFERROR(__xludf.DUMMYFUNCTION("IMPORTRANGE(""https://docs.google.com/spreadsheets/d/1eHaY18a8A9IcSdp1K8H6x8fbOy06t2VsZHhMHf-1x7Y/edit?usp=sharing"",""แผน!EX25"")"),59)</f>
        <v>59</v>
      </c>
      <c r="J369" s="184">
        <f ca="1">IFERROR(__xludf.DUMMYFUNCTION("IMPORTRANGE(""https://docs.google.com/spreadsheets/d/1tdoBKaGub7dwA3U6UFTqxio9LNnvDCQjHKmttSEBsFQ/edit?usp=sharing"",""จัดที่ดิน!AD25"")"),33)</f>
        <v>33</v>
      </c>
      <c r="K369" s="224">
        <f ca="1">IF(I369&gt;0,J369*100/I369,0)</f>
        <v>55.932203389830505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IFERROR(__xludf.DUMMYFUNCTION("IMPORTRANGE(""https://docs.google.com/spreadsheets/d/1tdoBKaGub7dwA3U6UFTqxio9LNnvDCQjHKmttSEBsFQ/edit?usp=sharing"",""จัดที่ดิน!AE25"")"),63.48)</f>
        <v>63.48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IFERROR(__xludf.DUMMYFUNCTION("IMPORTRANGE(""https://docs.google.com/spreadsheets/d/1eHaY18a8A9IcSdp1K8H6x8fbOy06t2VsZHhMHf-1x7Y/edit?usp=sharing"",""แผน!EY25"")"),59)</f>
        <v>59</v>
      </c>
      <c r="J371" s="184">
        <f ca="1">IFERROR(__xludf.DUMMYFUNCTION("IMPORTRANGE(""https://docs.google.com/spreadsheets/d/1tdoBKaGub7dwA3U6UFTqxio9LNnvDCQjHKmttSEBsFQ/edit?usp=sharing"",""จัดที่ดิน!AF25"")"),33)</f>
        <v>33</v>
      </c>
      <c r="K371" s="224">
        <f ca="1">IF(I371&gt;0,J371*100/I371,0)</f>
        <v>55.932203389830505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IFERROR(__xludf.DUMMYFUNCTION("IMPORTRANGE(""https://docs.google.com/spreadsheets/d/1tdoBKaGub7dwA3U6UFTqxio9LNnvDCQjHKmttSEBsFQ/edit?usp=sharing"",""จัดที่ดิน!AG25"")"),63.48)</f>
        <v>63.48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hidden="1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I385</f>
        <v>0</v>
      </c>
      <c r="J374" s="660">
        <f>J385</f>
        <v>0</v>
      </c>
      <c r="K374" s="659">
        <f ca="1">IF(I374&gt;0,J374*100/I374,0)</f>
        <v>0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hidden="1" x14ac:dyDescent="0.3">
      <c r="A375" s="128"/>
      <c r="B375" s="158"/>
      <c r="C375" s="161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0</v>
      </c>
      <c r="R375" s="547">
        <f ca="1">R376+R377</f>
        <v>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0</v>
      </c>
      <c r="R377" s="224">
        <f ca="1">R380+R383</f>
        <v>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hidden="1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0</v>
      </c>
      <c r="R378" s="224">
        <f ca="1">R379+R380</f>
        <v>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IFERROR(__xludf.DUMMYFUNCTION("IMPORTRANGE(""https://docs.google.com/spreadsheets/d/1-uDff_7J0KD5mKrp0Vvzr7lt3OU09vwQwhkpOPPYv2Y/edit?usp=sharing"",""งบพรบ!IE25"")"),0)</f>
        <v>0</v>
      </c>
      <c r="M380" s="224">
        <f ca="1">IFERROR(__xludf.DUMMYFUNCTION("IMPORTRANGE(""https://docs.google.com/spreadsheets/d/1-uDff_7J0KD5mKrp0Vvzr7lt3OU09vwQwhkpOPPYv2Y/edit?usp=sharing"",""งบพรบ!IJ25"")"),0)</f>
        <v>0</v>
      </c>
      <c r="N380" s="224">
        <f ca="1">IFERROR(__xludf.DUMMYFUNCTION("IMPORTRANGE(""https://docs.google.com/spreadsheets/d/1-uDff_7J0KD5mKrp0Vvzr7lt3OU09vwQwhkpOPPYv2Y/edit?usp=sharing"",""งบพรบ!IL25"")"),0)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IFERROR(__xludf.DUMMYFUNCTION("IMPORTRANGE(""https://docs.google.com/spreadsheets/d/1ItG2mGa2ceCfYo0BwxsXqNm01IGEUdYcSSLTEv9YCik/edit?usp=sharing"",""เบิกจ่ายกองทุน!BW25"")"),0)</f>
        <v>0</v>
      </c>
      <c r="R380" s="224">
        <f ca="1">IFERROR(__xludf.DUMMYFUNCTION("IMPORTRANGE(""https://docs.google.com/spreadsheets/d/1ItG2mGa2ceCfYo0BwxsXqNm01IGEUdYcSSLTEv9YCik/edit?usp=sharing"",""เบิกจ่ายกองทุน!BX25"")"),0)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IFERROR(__xludf.DUMMYFUNCTION("IMPORTRANGE(""https://docs.google.com/spreadsheets/d/1ItG2mGa2ceCfYo0BwxsXqNm01IGEUdYcSSLTEv9YCik/edit?usp=sharing"",""เบิกจ่ายกองทุน!BY25"")"),0)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hidden="1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IFERROR(__xludf.DUMMYFUNCTION("IMPORTRANGE(""https://docs.google.com/spreadsheets/d/1-uDff_7J0KD5mKrp0Vvzr7lt3OU09vwQwhkpOPPYv2Y/edit?usp=sharing"",""งบพรบ!IH25"")"),0)</f>
        <v>0</v>
      </c>
      <c r="M383" s="224">
        <f ca="1">IFERROR(__xludf.DUMMYFUNCTION("IMPORTRANGE(""https://docs.google.com/spreadsheets/d/1-uDff_7J0KD5mKrp0Vvzr7lt3OU09vwQwhkpOPPYv2Y/edit?usp=sharing"",""งบพรบ!IK25"")"),0)</f>
        <v>0</v>
      </c>
      <c r="N383" s="224">
        <f ca="1">IFERROR(__xludf.DUMMYFUNCTION("IMPORTRANGE(""https://docs.google.com/spreadsheets/d/1-uDff_7J0KD5mKrp0Vvzr7lt3OU09vwQwhkpOPPYv2Y/edit?usp=sharing"",""งบพรบ!IM25"")"),0)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hidden="1" x14ac:dyDescent="0.3">
      <c r="A384" s="138"/>
      <c r="B384" s="139"/>
      <c r="C384" s="161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hidden="1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IFERROR(__xludf.DUMMYFUNCTION("IMPORTRANGE(""https://docs.google.com/spreadsheets/d/1eHaY18a8A9IcSdp1K8H6x8fbOy06t2VsZHhMHf-1x7Y/edit?usp=sharing"",""แผน!JQ25"")"),0)</f>
        <v>0</v>
      </c>
      <c r="J385" s="184">
        <v>0</v>
      </c>
      <c r="K385" s="224">
        <f ca="1"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hidden="1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IFERROR(__xludf.DUMMYFUNCTION("IMPORTRANGE(""https://docs.google.com/spreadsheets/d/1eHaY18a8A9IcSdp1K8H6x8fbOy06t2VsZHhMHf-1x7Y/edit?usp=sharing"",""แผน!JQ25"")"),0)</f>
        <v>0</v>
      </c>
      <c r="J386" s="184">
        <v>0</v>
      </c>
      <c r="K386" s="224">
        <f ca="1">IF(I386&gt;0,J386*100/I386,0)</f>
        <v>0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208"/>
      <c r="B387" s="158"/>
      <c r="C387" s="158"/>
      <c r="D387" s="158"/>
      <c r="E387" s="322" t="s">
        <v>159</v>
      </c>
      <c r="F387" s="158"/>
      <c r="G387" s="180"/>
      <c r="H387" s="157" t="s">
        <v>34</v>
      </c>
      <c r="I387" s="485">
        <v>0</v>
      </c>
      <c r="J387" s="485">
        <v>0</v>
      </c>
      <c r="K387" s="83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208"/>
      <c r="B388" s="158"/>
      <c r="C388" s="158"/>
      <c r="D388" s="158"/>
      <c r="E388" s="158"/>
      <c r="F388" s="158"/>
      <c r="G388" s="180"/>
      <c r="H388" s="157" t="s">
        <v>46</v>
      </c>
      <c r="I388" s="485">
        <v>0</v>
      </c>
      <c r="J388" s="485">
        <v>0</v>
      </c>
      <c r="K388" s="83">
        <f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IFERROR(__xludf.DUMMYFUNCTION("IMPORTRANGE(""https://docs.google.com/spreadsheets/d/1ItG2mGa2ceCfYo0BwxsXqNm01IGEUdYcSSLTEv9YCik/edit?usp=sharing"",""เบิกจ่ายกองทุน!CL25"")"),0)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IFERROR(__xludf.DUMMYFUNCTION("IMPORTRANGE(""https://docs.google.com/spreadsheets/d/1ItG2mGa2ceCfYo0BwxsXqNm01IGEUdYcSSLTEv9YCik/edit?usp=sharing"",""เบิกจ่ายกองทุน!CM25"")"),0)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IFERROR(__xludf.DUMMYFUNCTION("IMPORTRANGE(""https://docs.google.com/spreadsheets/d/1ItG2mGa2ceCfYo0BwxsXqNm01IGEUdYcSSLTEv9YCik/edit?usp=sharing"",""เบิกจ่ายกองทุน!CN25"")"),0)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hidden="1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hidden="1" x14ac:dyDescent="0.3">
      <c r="A413" s="128"/>
      <c r="B413" s="158"/>
      <c r="C413" s="330" t="s">
        <v>18</v>
      </c>
      <c r="D413" s="629" t="s">
        <v>19</v>
      </c>
      <c r="E413" s="514"/>
      <c r="F413" s="514"/>
      <c r="G413" s="515"/>
      <c r="H413" s="331" t="s">
        <v>14</v>
      </c>
      <c r="I413" s="44"/>
      <c r="J413" s="44"/>
      <c r="K413" s="45"/>
      <c r="L413" s="548">
        <f ca="1">L414+L415</f>
        <v>0</v>
      </c>
      <c r="M413" s="547">
        <f ca="1">M414+M415</f>
        <v>0</v>
      </c>
      <c r="N413" s="547">
        <f ca="1">N414+N415</f>
        <v>0</v>
      </c>
      <c r="O413" s="547">
        <f ca="1">IF(L413&gt;0,N413*100/L413,0)</f>
        <v>0</v>
      </c>
      <c r="P413" s="547">
        <f ca="1">IF(M413&gt;0,N413*100/M413,0)</f>
        <v>0</v>
      </c>
      <c r="Q413" s="547">
        <f ca="1">Q414+Q415</f>
        <v>0</v>
      </c>
      <c r="R413" s="547">
        <f ca="1">R414+R415</f>
        <v>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158"/>
      <c r="E414" s="322" t="s">
        <v>162</v>
      </c>
      <c r="F414" s="158"/>
      <c r="G414" s="180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0</v>
      </c>
      <c r="M415" s="224">
        <f ca="1">M418+M421</f>
        <v>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0</v>
      </c>
      <c r="R415" s="224">
        <f ca="1">R418+R421</f>
        <v>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hidden="1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0</v>
      </c>
      <c r="M416" s="224">
        <f ca="1">M417+M418</f>
        <v>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0</v>
      </c>
      <c r="R416" s="224">
        <f ca="1">R417+R418</f>
        <v>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IFERROR(__xludf.DUMMYFUNCTION("IMPORTRANGE(""https://docs.google.com/spreadsheets/d/1-uDff_7J0KD5mKrp0Vvzr7lt3OU09vwQwhkpOPPYv2Y/edit?usp=sharing"",""งบพรบ!IO25"")"),0)</f>
        <v>0</v>
      </c>
      <c r="M418" s="224">
        <f ca="1">IFERROR(__xludf.DUMMYFUNCTION("IMPORTRANGE(""https://docs.google.com/spreadsheets/d/1-uDff_7J0KD5mKrp0Vvzr7lt3OU09vwQwhkpOPPYv2Y/edit?usp=sharing"",""งบพรบ!IT25"")"),0)</f>
        <v>0</v>
      </c>
      <c r="N418" s="224">
        <f ca="1">IFERROR(__xludf.DUMMYFUNCTION("IMPORTRANGE(""https://docs.google.com/spreadsheets/d/1-uDff_7J0KD5mKrp0Vvzr7lt3OU09vwQwhkpOPPYv2Y/edit?usp=sharing"",""งบพรบ!IV25"")"),0)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IFERROR(__xludf.DUMMYFUNCTION("IMPORTRANGE(""https://docs.google.com/spreadsheets/d/1ItG2mGa2ceCfYo0BwxsXqNm01IGEUdYcSSLTEv9YCik/edit?usp=sharing"",""เบิกจ่ายกองทุน!BZ25"")"),0)</f>
        <v>0</v>
      </c>
      <c r="R418" s="224">
        <f ca="1">IFERROR(__xludf.DUMMYFUNCTION("IMPORTRANGE(""https://docs.google.com/spreadsheets/d/1ItG2mGa2ceCfYo0BwxsXqNm01IGEUdYcSSLTEv9YCik/edit?usp=sharing"",""เบิกจ่ายกองทุน!CA25"")"),0)</f>
        <v>0</v>
      </c>
      <c r="S418" s="224">
        <f ca="1">IFERROR(__xludf.DUMMYFUNCTION("IMPORTRANGE(""https://docs.google.com/spreadsheets/d/1ItG2mGa2ceCfYo0BwxsXqNm01IGEUdYcSSLTEv9YCik/edit?usp=sharing"",""เบิกจ่ายกองทุน!CB25"")"),0)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hidden="1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IFERROR(__xludf.DUMMYFUNCTION("IMPORTRANGE(""https://docs.google.com/spreadsheets/d/1-uDff_7J0KD5mKrp0Vvzr7lt3OU09vwQwhkpOPPYv2Y/edit?usp=sharing"",""งบพรบ!IR25"")"),0)</f>
        <v>0</v>
      </c>
      <c r="M421" s="224">
        <f ca="1">IFERROR(__xludf.DUMMYFUNCTION("IMPORTRANGE(""https://docs.google.com/spreadsheets/d/1-uDff_7J0KD5mKrp0Vvzr7lt3OU09vwQwhkpOPPYv2Y/edit?usp=sharing"",""งบพรบ!IU25"")"),0)</f>
        <v>0</v>
      </c>
      <c r="N421" s="224">
        <f ca="1">IFERROR(__xludf.DUMMYFUNCTION("IMPORTRANGE(""https://docs.google.com/spreadsheets/d/1-uDff_7J0KD5mKrp0Vvzr7lt3OU09vwQwhkpOPPYv2Y/edit?usp=sharing"",""งบพรบ!IW25"")"),0)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hidden="1" x14ac:dyDescent="0.3">
      <c r="A422" s="208"/>
      <c r="B422" s="158"/>
      <c r="C422" s="330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IFERROR(__xludf.DUMMYFUNCTION("IMPORTRANGE(""https://docs.google.com/spreadsheets/d/1eHaY18a8A9IcSdp1K8H6x8fbOy06t2VsZHhMHf-1x7Y/edit?usp=sharing"",""แผน!HJ25"")"),0)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IFERROR(__xludf.DUMMYFUNCTION("IMPORTRANGE(""https://docs.google.com/spreadsheets/d/1eHaY18a8A9IcSdp1K8H6x8fbOy06t2VsZHhMHf-1x7Y/edit?usp=sharing"",""แผน!HK25"")"),0)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IFERROR(__xludf.DUMMYFUNCTION("IMPORTRANGE(""https://docs.google.com/spreadsheets/d/1eHaY18a8A9IcSdp1K8H6x8fbOy06t2VsZHhMHf-1x7Y/edit?usp=sharing"",""แผน!HJ25"")"),0)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IFERROR(__xludf.DUMMYFUNCTION("IMPORTRANGE(""https://docs.google.com/spreadsheets/d/1eHaY18a8A9IcSdp1K8H6x8fbOy06t2VsZHhMHf-1x7Y/edit?usp=sharing"",""แผน!HK25"")"),0)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IFERROR(__xludf.DUMMYFUNCTION("IMPORTRANGE(""https://docs.google.com/spreadsheets/d/1eHaY18a8A9IcSdp1K8H6x8fbOy06t2VsZHhMHf-1x7Y/edit?usp=sharing"",""แผน!HJ25"")"),0)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IFERROR(__xludf.DUMMYFUNCTION("IMPORTRANGE(""https://docs.google.com/spreadsheets/d/1eHaY18a8A9IcSdp1K8H6x8fbOy06t2VsZHhMHf-1x7Y/edit?usp=sharing"",""แผน!HK25"")"),0)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hidden="1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0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hidden="1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IFERROR(__xludf.DUMMYFUNCTION("IMPORTRANGE(""https://docs.google.com/spreadsheets/d/1eHaY18a8A9IcSdp1K8H6x8fbOy06t2VsZHhMHf-1x7Y/edit?usp=sharing"",""แผน!HL25"")"),0)</f>
        <v>0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hidden="1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IFERROR(__xludf.DUMMYFUNCTION("IMPORTRANGE(""https://docs.google.com/spreadsheets/d/1eHaY18a8A9IcSdp1K8H6x8fbOy06t2VsZHhMHf-1x7Y/edit?usp=sharing"",""แผน!HM25"")"),0)</f>
        <v>0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hidden="1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hidden="1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hidden="1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hidden="1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hidden="1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hidden="1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hidden="1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hidden="1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hidden="1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hidden="1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hidden="1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hidden="1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hidden="1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hidden="1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hidden="1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hidden="1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IFERROR(__xludf.DUMMYFUNCTION("IMPORTRANGE(""https://docs.google.com/spreadsheets/d/1-uDff_7J0KD5mKrp0Vvzr7lt3OU09vwQwhkpOPPYv2Y/edit?usp=sharing"",""งบพรบ!HU25"")"),0)</f>
        <v>0</v>
      </c>
      <c r="M498" s="224">
        <f ca="1">IFERROR(__xludf.DUMMYFUNCTION("IMPORTRANGE(""https://docs.google.com/spreadsheets/d/1-uDff_7J0KD5mKrp0Vvzr7lt3OU09vwQwhkpOPPYv2Y/edit?usp=sharing"",""งบพรบ!HZ25"")"),0)</f>
        <v>0</v>
      </c>
      <c r="N498" s="224">
        <f ca="1">IFERROR(__xludf.DUMMYFUNCTION("IMPORTRANGE(""https://docs.google.com/spreadsheets/d/1-uDff_7J0KD5mKrp0Vvzr7lt3OU09vwQwhkpOPPYv2Y/edit?usp=sharing"",""งบพรบ!IB25"")"),0)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IFERROR(__xludf.DUMMYFUNCTION("IMPORTRANGE(""https://docs.google.com/spreadsheets/d/1ItG2mGa2ceCfYo0BwxsXqNm01IGEUdYcSSLTEv9YCik/edit?usp=sharing"",""เบิกจ่ายกองทุน!AF25"")"),0)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IFERROR(__xludf.DUMMYFUNCTION("IMPORTRANGE(""https://docs.google.com/spreadsheets/d/1-uDff_7J0KD5mKrp0Vvzr7lt3OU09vwQwhkpOPPYv2Y/edit?usp=sharing"",""งบพรบ!HX25"")"),0)</f>
        <v>0</v>
      </c>
      <c r="M501" s="224">
        <f ca="1">IFERROR(__xludf.DUMMYFUNCTION("IMPORTRANGE(""https://docs.google.com/spreadsheets/d/1-uDff_7J0KD5mKrp0Vvzr7lt3OU09vwQwhkpOPPYv2Y/edit?usp=sharing"",""งบพรบ!IA25"")"),0)</f>
        <v>0</v>
      </c>
      <c r="N501" s="224">
        <f ca="1">IFERROR(__xludf.DUMMYFUNCTION("IMPORTRANGE(""https://docs.google.com/spreadsheets/d/1-uDff_7J0KD5mKrp0Vvzr7lt3OU09vwQwhkpOPPYv2Y/edit?usp=sharing"",""งบพรบ!IC25"")"),0)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IFERROR(__xludf.DUMMYFUNCTION("IMPORTRANGE(""https://docs.google.com/spreadsheets/d/1eHaY18a8A9IcSdp1K8H6x8fbOy06t2VsZHhMHf-1x7Y/edit?usp=sharing"",""แผน!GX25"")"),0)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IFERROR(__xludf.DUMMYFUNCTION("IMPORTRANGE(""https://docs.google.com/spreadsheets/d/1eHaY18a8A9IcSdp1K8H6x8fbOy06t2VsZHhMHf-1x7Y/edit?usp=sharing"",""แผน!GY25"")"),0)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IFERROR(__xludf.DUMMYFUNCTION("IMPORTRANGE(""https://docs.google.com/spreadsheets/d/1eHaY18a8A9IcSdp1K8H6x8fbOy06t2VsZHhMHf-1x7Y/edit?usp=sharing"",""แผน!GZ25"")"),0)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IFERROR(__xludf.DUMMYFUNCTION("IMPORTRANGE(""https://docs.google.com/spreadsheets/d/1eHaY18a8A9IcSdp1K8H6x8fbOy06t2VsZHhMHf-1x7Y/edit?usp=sharing"",""แผน!HA25"")"),0)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IFERROR(__xludf.DUMMYFUNCTION("IMPORTRANGE(""https://docs.google.com/spreadsheets/d/1eHaY18a8A9IcSdp1K8H6x8fbOy06t2VsZHhMHf-1x7Y/edit?usp=sharing"",""แผน!HB25"")"),0)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IFERROR(__xludf.DUMMYFUNCTION("IMPORTRANGE(""https://docs.google.com/spreadsheets/d/1eHaY18a8A9IcSdp1K8H6x8fbOy06t2VsZHhMHf-1x7Y/edit?usp=sharing"",""แผน!HC25"")"),0)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IFERROR(__xludf.DUMMYFUNCTION("IMPORTRANGE(""https://docs.google.com/spreadsheets/d/1-uDff_7J0KD5mKrp0Vvzr7lt3OU09vwQwhkpOPPYv2Y/edit?usp=sharing"",""งบพรบ!FM25"")"),0)</f>
        <v>0</v>
      </c>
      <c r="M518" s="224">
        <f ca="1">IFERROR(__xludf.DUMMYFUNCTION("IMPORTRANGE(""https://docs.google.com/spreadsheets/d/1-uDff_7J0KD5mKrp0Vvzr7lt3OU09vwQwhkpOPPYv2Y/edit?usp=sharing"",""งบพรบ!FR25"")"),0)</f>
        <v>0</v>
      </c>
      <c r="N518" s="224">
        <f ca="1">IFERROR(__xludf.DUMMYFUNCTION("IMPORTRANGE(""https://docs.google.com/spreadsheets/d/1-uDff_7J0KD5mKrp0Vvzr7lt3OU09vwQwhkpOPPYv2Y/edit?usp=sharing"",""งบพรบ!FT25"")"),0)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IFERROR(__xludf.DUMMYFUNCTION("IMPORTRANGE(""https://docs.google.com/spreadsheets/d/1-uDff_7J0KD5mKrp0Vvzr7lt3OU09vwQwhkpOPPYv2Y/edit?usp=sharing"",""งบพรบ!FP25"")"),0)</f>
        <v>0</v>
      </c>
      <c r="M521" s="224">
        <f ca="1">IFERROR(__xludf.DUMMYFUNCTION("IMPORTRANGE(""https://docs.google.com/spreadsheets/d/1-uDff_7J0KD5mKrp0Vvzr7lt3OU09vwQwhkpOPPYv2Y/edit?usp=sharing"",""งบพรบ!FS25"")"),0)</f>
        <v>0</v>
      </c>
      <c r="N521" s="224">
        <f ca="1">IFERROR(__xludf.DUMMYFUNCTION("IMPORTRANGE(""https://docs.google.com/spreadsheets/d/1-uDff_7J0KD5mKrp0Vvzr7lt3OU09vwQwhkpOPPYv2Y/edit?usp=sharing"",""งบพรบ!FU25"")"),0)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IFERROR(__xludf.DUMMYFUNCTION("IMPORTRANGE(""https://docs.google.com/spreadsheets/d/1-uDff_7J0KD5mKrp0Vvzr7lt3OU09vwQwhkpOPPYv2Y/edit?usp=sharing"",""งบพรบ!FW25"")"),0)</f>
        <v>0</v>
      </c>
      <c r="M539" s="224">
        <f ca="1">IFERROR(__xludf.DUMMYFUNCTION("IMPORTRANGE(""https://docs.google.com/spreadsheets/d/1-uDff_7J0KD5mKrp0Vvzr7lt3OU09vwQwhkpOPPYv2Y/edit?usp=sharing"",""งบพรบ!GB25"")"),0)</f>
        <v>0</v>
      </c>
      <c r="N539" s="224">
        <f ca="1">IFERROR(__xludf.DUMMYFUNCTION("IMPORTRANGE(""https://docs.google.com/spreadsheets/d/1-uDff_7J0KD5mKrp0Vvzr7lt3OU09vwQwhkpOPPYv2Y/edit?usp=sharing"",""งบพรบ!GD25"")"),0)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IFERROR(__xludf.DUMMYFUNCTION("IMPORTRANGE(""https://docs.google.com/spreadsheets/d/1-uDff_7J0KD5mKrp0Vvzr7lt3OU09vwQwhkpOPPYv2Y/edit?usp=sharing"",""งบพรบ!FZ25"")"),0)</f>
        <v>0</v>
      </c>
      <c r="M542" s="224">
        <f ca="1">IFERROR(__xludf.DUMMYFUNCTION("IMPORTRANGE(""https://docs.google.com/spreadsheets/d/1-uDff_7J0KD5mKrp0Vvzr7lt3OU09vwQwhkpOPPYv2Y/edit?usp=sharing"",""งบพรบ!GC25"")"),0)</f>
        <v>0</v>
      </c>
      <c r="N542" s="224">
        <f ca="1">IFERROR(__xludf.DUMMYFUNCTION("IMPORTRANGE(""https://docs.google.com/spreadsheets/d/1-uDff_7J0KD5mKrp0Vvzr7lt3OU09vwQwhkpOPPYv2Y/edit?usp=sharing"",""งบพรบ!GE25"")"),0)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1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1975000</v>
      </c>
      <c r="M555" s="547">
        <f ca="1">M556+M557</f>
        <v>1918850</v>
      </c>
      <c r="N555" s="547">
        <f ca="1">N556+N557</f>
        <v>1918850</v>
      </c>
      <c r="O555" s="547">
        <f ca="1">IF(L555&gt;0,N555*100/L555,0)</f>
        <v>97.15696202531646</v>
      </c>
      <c r="P555" s="547">
        <f ca="1">IF(M555&gt;0,N555*100/M555,0)</f>
        <v>100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1975000</v>
      </c>
      <c r="M557" s="224">
        <f ca="1">M560+M563</f>
        <v>1918850</v>
      </c>
      <c r="N557" s="224">
        <f ca="1">N560+N563</f>
        <v>1918850</v>
      </c>
      <c r="O557" s="224">
        <f ca="1">IF(L557&gt;0,N557*100/L557,0)</f>
        <v>97.15696202531646</v>
      </c>
      <c r="P557" s="224">
        <f ca="1">IF(M557&gt;0,N557*100/M557,0)</f>
        <v>100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IFERROR(__xludf.DUMMYFUNCTION("IMPORTRANGE(""https://docs.google.com/spreadsheets/d/1-uDff_7J0KD5mKrp0Vvzr7lt3OU09vwQwhkpOPPYv2Y/edit?usp=sharing"",""งบพรบ!GG25"")"),0)</f>
        <v>0</v>
      </c>
      <c r="M560" s="224">
        <f ca="1">IFERROR(__xludf.DUMMYFUNCTION("IMPORTRANGE(""https://docs.google.com/spreadsheets/d/1-uDff_7J0KD5mKrp0Vvzr7lt3OU09vwQwhkpOPPYv2Y/edit?usp=sharing"",""งบพรบ!GL25"")"),0)</f>
        <v>0</v>
      </c>
      <c r="N560" s="224">
        <f ca="1">IFERROR(__xludf.DUMMYFUNCTION("IMPORTRANGE(""https://docs.google.com/spreadsheets/d/1-uDff_7J0KD5mKrp0Vvzr7lt3OU09vwQwhkpOPPYv2Y/edit?usp=sharing"",""งบพรบ!GN25"")"),0)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1975000</v>
      </c>
      <c r="M561" s="224">
        <f ca="1">M562+M563</f>
        <v>1918850</v>
      </c>
      <c r="N561" s="224">
        <f ca="1">N562+N563</f>
        <v>1918850</v>
      </c>
      <c r="O561" s="224">
        <f ca="1">IF(L561&gt;0,N561*100/L561,0)</f>
        <v>97.15696202531646</v>
      </c>
      <c r="P561" s="224">
        <f ca="1">IF(M561&gt;0,N561*100/M561,0)</f>
        <v>100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IFERROR(__xludf.DUMMYFUNCTION("IMPORTRANGE(""https://docs.google.com/spreadsheets/d/1-uDff_7J0KD5mKrp0Vvzr7lt3OU09vwQwhkpOPPYv2Y/edit?usp=sharing"",""งบพรบ!GJ25"")"),1975000)</f>
        <v>1975000</v>
      </c>
      <c r="M563" s="224">
        <f ca="1">IFERROR(__xludf.DUMMYFUNCTION("IMPORTRANGE(""https://docs.google.com/spreadsheets/d/1-uDff_7J0KD5mKrp0Vvzr7lt3OU09vwQwhkpOPPYv2Y/edit?usp=sharing"",""งบพรบ!GM25"")"),1918850)</f>
        <v>1918850</v>
      </c>
      <c r="N563" s="224">
        <f ca="1">IFERROR(__xludf.DUMMYFUNCTION("IMPORTRANGE(""https://docs.google.com/spreadsheets/d/1-uDff_7J0KD5mKrp0Vvzr7lt3OU09vwQwhkpOPPYv2Y/edit?usp=sharing"",""งบพรบ!GO25"")"),1918850)</f>
        <v>1918850</v>
      </c>
      <c r="O563" s="224">
        <f ca="1">IF(L563&gt;0,N563*100/L563,0)</f>
        <v>97.15696202531646</v>
      </c>
      <c r="P563" s="224">
        <f ca="1">IF(M563&gt;0,N563*100/M563,0)</f>
        <v>100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v>1</v>
      </c>
      <c r="J565" s="377">
        <v>0</v>
      </c>
      <c r="K565" s="376">
        <f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5</v>
      </c>
      <c r="J575" s="365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312195</v>
      </c>
      <c r="M576" s="547">
        <f ca="1">M577+M578</f>
        <v>312195</v>
      </c>
      <c r="N576" s="547">
        <f ca="1">N577+N578</f>
        <v>32190</v>
      </c>
      <c r="O576" s="547">
        <f ca="1">IF(L576&gt;0,N576*100/L576,0)</f>
        <v>10.310863402681017</v>
      </c>
      <c r="P576" s="547">
        <f ca="1">IF(M576&gt;0,N576*100/M576,0)</f>
        <v>10.310863402681017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312195</v>
      </c>
      <c r="M578" s="224">
        <f ca="1">M581+M584</f>
        <v>312195</v>
      </c>
      <c r="N578" s="224">
        <f ca="1">N581+N584</f>
        <v>32190</v>
      </c>
      <c r="O578" s="224">
        <f ca="1">IF(L578&gt;0,N578*100/L578,0)</f>
        <v>10.310863402681017</v>
      </c>
      <c r="P578" s="224">
        <f ca="1">IF(M578&gt;0,N578*100/M578,0)</f>
        <v>10.310863402681017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312195</v>
      </c>
      <c r="M579" s="224">
        <f ca="1">M580+M581</f>
        <v>312195</v>
      </c>
      <c r="N579" s="224">
        <f ca="1">N580+N581</f>
        <v>32190</v>
      </c>
      <c r="O579" s="224">
        <f ca="1">IF(L579&gt;0,N579*100/L579,0)</f>
        <v>10.310863402681017</v>
      </c>
      <c r="P579" s="224">
        <f ca="1">IF(M579&gt;0,N579*100/M579,0)</f>
        <v>10.310863402681017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IFERROR(__xludf.DUMMYFUNCTION("IMPORTRANGE(""https://docs.google.com/spreadsheets/d/1-uDff_7J0KD5mKrp0Vvzr7lt3OU09vwQwhkpOPPYv2Y/edit?usp=sharing"",""งบพรบ!GQ25"")"),312195)</f>
        <v>312195</v>
      </c>
      <c r="M581" s="224">
        <f ca="1">IFERROR(__xludf.DUMMYFUNCTION("IMPORTRANGE(""https://docs.google.com/spreadsheets/d/1-uDff_7J0KD5mKrp0Vvzr7lt3OU09vwQwhkpOPPYv2Y/edit?usp=sharing"",""งบพรบ!GV25"")"),312195)</f>
        <v>312195</v>
      </c>
      <c r="N581" s="224">
        <f ca="1">IFERROR(__xludf.DUMMYFUNCTION("IMPORTRANGE(""https://docs.google.com/spreadsheets/d/1-uDff_7J0KD5mKrp0Vvzr7lt3OU09vwQwhkpOPPYv2Y/edit?usp=sharing"",""งบพรบ!GX25"")"),32190)</f>
        <v>32190</v>
      </c>
      <c r="O581" s="224">
        <f ca="1">IF(L581&gt;0,N581*100/L581,0)</f>
        <v>10.310863402681017</v>
      </c>
      <c r="P581" s="224">
        <f ca="1">IF(M581&gt;0,N581*100/M581,0)</f>
        <v>10.310863402681017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IFERROR(__xludf.DUMMYFUNCTION("IMPORTRANGE(""https://docs.google.com/spreadsheets/d/1-uDff_7J0KD5mKrp0Vvzr7lt3OU09vwQwhkpOPPYv2Y/edit?usp=sharing"",""งบพรบ!GT25"")"),0)</f>
        <v>0</v>
      </c>
      <c r="M584" s="224">
        <f ca="1">IFERROR(__xludf.DUMMYFUNCTION("IMPORTRANGE(""https://docs.google.com/spreadsheets/d/1-uDff_7J0KD5mKrp0Vvzr7lt3OU09vwQwhkpOPPYv2Y/edit?usp=sharing"",""งบพรบ!GW25"")"),0)</f>
        <v>0</v>
      </c>
      <c r="N584" s="224">
        <f ca="1">IFERROR(__xludf.DUMMYFUNCTION("IMPORTRANGE(""https://docs.google.com/spreadsheets/d/1-uDff_7J0KD5mKrp0Vvzr7lt3OU09vwQwhkpOPPYv2Y/edit?usp=sharing"",""งบพรบ!GY25"")"),0)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4</v>
      </c>
      <c r="J586" s="377">
        <v>1</v>
      </c>
      <c r="K586" s="376">
        <f>IF(I586&gt;0,J586*100/I586,0)</f>
        <v>25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5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12967</v>
      </c>
      <c r="M599" s="715">
        <f ca="1">M600+M601</f>
        <v>12967</v>
      </c>
      <c r="N599" s="715">
        <f ca="1">N600+N601</f>
        <v>8367</v>
      </c>
      <c r="O599" s="715">
        <f ca="1">IF(L599&gt;0,N599*100/L599,0)</f>
        <v>64.525333538983574</v>
      </c>
      <c r="P599" s="715">
        <f ca="1">IF(M599&gt;0,N599*100/M599,0)</f>
        <v>64.525333538983574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12967</v>
      </c>
      <c r="M601" s="558">
        <f ca="1">M604+M607</f>
        <v>12967</v>
      </c>
      <c r="N601" s="558">
        <f ca="1">N604+N607</f>
        <v>8367</v>
      </c>
      <c r="O601" s="558">
        <f ca="1">IF(L601&gt;0,N601*100/L601,0)</f>
        <v>64.525333538983574</v>
      </c>
      <c r="P601" s="558">
        <f ca="1">IF(M601&gt;0,N601*100/M601,0)</f>
        <v>64.525333538983574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12967</v>
      </c>
      <c r="M602" s="558">
        <f ca="1">M603+M604</f>
        <v>12967</v>
      </c>
      <c r="N602" s="558">
        <f ca="1">N603+N604</f>
        <v>8367</v>
      </c>
      <c r="O602" s="558">
        <f ca="1">IF(L602&gt;0,N602*100/L602,0)</f>
        <v>64.525333538983574</v>
      </c>
      <c r="P602" s="558">
        <f ca="1">IF(M602&gt;0,N602*100/M602,0)</f>
        <v>64.525333538983574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IFERROR(__xludf.DUMMYFUNCTION("IMPORTRANGE(""https://docs.google.com/spreadsheets/d/1-uDff_7J0KD5mKrp0Vvzr7lt3OU09vwQwhkpOPPYv2Y/edit?usp=sharing"",""งบพรบ!HK25"")"),12967)</f>
        <v>12967</v>
      </c>
      <c r="M604" s="558">
        <f ca="1">IFERROR(__xludf.DUMMYFUNCTION("IMPORTRANGE(""https://docs.google.com/spreadsheets/d/1-uDff_7J0KD5mKrp0Vvzr7lt3OU09vwQwhkpOPPYv2Y/edit?usp=sharing"",""งบพรบ!HP25"")"),12967)</f>
        <v>12967</v>
      </c>
      <c r="N604" s="558">
        <f ca="1">IFERROR(__xludf.DUMMYFUNCTION("IMPORTRANGE(""https://docs.google.com/spreadsheets/d/1-uDff_7J0KD5mKrp0Vvzr7lt3OU09vwQwhkpOPPYv2Y/edit?usp=sharing"",""งบพรบ!HR25"")"),8367)</f>
        <v>8367</v>
      </c>
      <c r="O604" s="558">
        <f ca="1">IF(L604&gt;0,N604*100/L604,0)</f>
        <v>64.525333538983574</v>
      </c>
      <c r="P604" s="558">
        <f ca="1">IF(M604&gt;0,N604*100/M604,0)</f>
        <v>64.525333538983574</v>
      </c>
      <c r="Q604" s="558">
        <f ca="1">IFERROR(__xludf.DUMMYFUNCTION("IMPORTRANGE(""https://docs.google.com/spreadsheets/d/1ItG2mGa2ceCfYo0BwxsXqNm01IGEUdYcSSLTEv9YCik/edit?usp=sharing"",""เบิกจ่ายกองทุน!AV25"")"),0)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IFERROR(__xludf.DUMMYFUNCTION("IMPORTRANGE(""https://docs.google.com/spreadsheets/d/1ItG2mGa2ceCfYo0BwxsXqNm01IGEUdYcSSLTEv9YCik/edit?usp=sharing"",""เบิกจ่ายกองทุน!AW25"")"),0)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IFERROR(__xludf.DUMMYFUNCTION("IMPORTRANGE(""https://docs.google.com/spreadsheets/d/1ItG2mGa2ceCfYo0BwxsXqNm01IGEUdYcSSLTEv9YCik/edit?usp=sharing"",""เบิกจ่ายกองทุน!AX25"")"),0)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IFERROR(__xludf.DUMMYFUNCTION("IMPORTRANGE(""https://docs.google.com/spreadsheets/d/1-uDff_7J0KD5mKrp0Vvzr7lt3OU09vwQwhkpOPPYv2Y/edit?usp=sharing"",""งบพรบ!HN25"")"),0)</f>
        <v>0</v>
      </c>
      <c r="M607" s="558">
        <f ca="1">IFERROR(__xludf.DUMMYFUNCTION("IMPORTRANGE(""https://docs.google.com/spreadsheets/d/1-uDff_7J0KD5mKrp0Vvzr7lt3OU09vwQwhkpOPPYv2Y/edit?usp=sharing"",""งบพรบ!HQ25"")"),0)</f>
        <v>0</v>
      </c>
      <c r="N607" s="558">
        <f ca="1">IFERROR(__xludf.DUMMYFUNCTION("IMPORTRANGE(""https://docs.google.com/spreadsheets/d/1-uDff_7J0KD5mKrp0Vvzr7lt3OU09vwQwhkpOPPYv2Y/edit?usp=sharing"",""งบพรบ!HS25"")"),0)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IFERROR(__xludf.DUMMYFUNCTION("IMPORTRANGE(""https://docs.google.com/spreadsheets/d/1ItG2mGa2ceCfYo0BwxsXqNm01IGEUdYcSSLTEv9YCik/edit?usp=sharing"",""เบิกจ่ายกองทุน!AY25"")"),0)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IFERROR(__xludf.DUMMYFUNCTION("IMPORTRANGE(""https://docs.google.com/spreadsheets/d/1ItG2mGa2ceCfYo0BwxsXqNm01IGEUdYcSSLTEv9YCik/edit?usp=sharing"",""เบิกจ่ายกองทุน!AZ25"")"),0)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IFERROR(__xludf.DUMMYFUNCTION("IMPORTRANGE(""https://docs.google.com/spreadsheets/d/1ItG2mGa2ceCfYo0BwxsXqNm01IGEUdYcSSLTEv9YCik/edit?usp=sharing"",""เบิกจ่ายกองทุน!BA25"")"),0)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7275</v>
      </c>
      <c r="R616" s="547">
        <f ca="1">R617+R618</f>
        <v>7275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7275</v>
      </c>
      <c r="R618" s="224">
        <f ca="1">R621+R624</f>
        <v>7275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7275</v>
      </c>
      <c r="R619" s="224">
        <f ca="1">R620+R621</f>
        <v>7275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IFERROR(__xludf.DUMMYFUNCTION("IMPORTRANGE(""https://docs.google.com/spreadsheets/d/1ItG2mGa2ceCfYo0BwxsXqNm01IGEUdYcSSLTEv9YCik/edit?usp=sharing"",""เบิกจ่ายกองทุน!F25"")"),7275)</f>
        <v>7275</v>
      </c>
      <c r="R621" s="224">
        <f ca="1">IFERROR(__xludf.DUMMYFUNCTION("IMPORTRANGE(""https://docs.google.com/spreadsheets/d/1ItG2mGa2ceCfYo0BwxsXqNm01IGEUdYcSSLTEv9YCik/edit?usp=sharing"",""เบิกจ่ายกองทุน!G25"")"),7275)</f>
        <v>7275</v>
      </c>
      <c r="S621" s="224">
        <f ca="1">IFERROR(__xludf.DUMMYFUNCTION("IMPORTRANGE(""https://docs.google.com/spreadsheets/d/1ItG2mGa2ceCfYo0BwxsXqNm01IGEUdYcSSLTEv9YCik/edit?usp=sharing"",""เบิกจ่ายกองทุน!H25"")"),0)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IFERROR(__xludf.DUMMYFUNCTION("IMPORTRANGE(""https://docs.google.com/spreadsheets/d/1eHaY18a8A9IcSdp1K8H6x8fbOy06t2VsZHhMHf-1x7Y/edit?usp=sharing"",""แผน!ID25"")"),50)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IFERROR(__xludf.DUMMYFUNCTION("IMPORTRANGE(""https://docs.google.com/spreadsheets/d/1eHaY18a8A9IcSdp1K8H6x8fbOy06t2VsZHhMHf-1x7Y/edit?usp=sharing"",""แผน!IC25"")"),1)</f>
        <v>1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IFERROR(__xludf.DUMMYFUNCTION("IMPORTRANGE(""https://docs.google.com/spreadsheets/d/1eHaY18a8A9IcSdp1K8H6x8fbOy06t2VsZHhMHf-1x7Y/edit?usp=sharing"",""แผน!IC25"")"),1)</f>
        <v>1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IFERROR(__xludf.DUMMYFUNCTION("IMPORTRANGE(""https://docs.google.com/spreadsheets/d/1eHaY18a8A9IcSdp1K8H6x8fbOy06t2VsZHhMHf-1x7Y/edit?usp=sharing"",""แผน!IE25"")"),0)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IFERROR(__xludf.DUMMYFUNCTION("IMPORTRANGE(""https://docs.google.com/spreadsheets/d/1ItG2mGa2ceCfYo0BwxsXqNm01IGEUdYcSSLTEv9YCik/edit?usp=sharing"",""เบิกจ่ายกองทุน!K25"")"),0)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IFERROR(__xludf.DUMMYFUNCTION("IMPORTRANGE(""https://docs.google.com/spreadsheets/d/1eHaY18a8A9IcSdp1K8H6x8fbOy06t2VsZHhMHf-1x7Y/edit?usp=sharing"",""แผน!IF25"")"),0)</f>
        <v>0</v>
      </c>
      <c r="J652" s="184">
        <f ca="1">IFERROR(__xludf.DUMMYFUNCTION("IMPORTRANGE(""https://docs.google.com/spreadsheets/d/1tdoBKaGub7dwA3U6UFTqxio9LNnvDCQjHKmttSEBsFQ/edit?usp=sharing"",""จัดที่ดิน!AU25"")"),0)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IFERROR(__xludf.DUMMYFUNCTION("IMPORTRANGE(""https://docs.google.com/spreadsheets/d/1eHaY18a8A9IcSdp1K8H6x8fbOy06t2VsZHhMHf-1x7Y/edit?usp=sharing"",""แผน!IG25"")"),0)</f>
        <v>0</v>
      </c>
      <c r="J653" s="184">
        <f ca="1">IFERROR(__xludf.DUMMYFUNCTION("IMPORTRANGE(""https://docs.google.com/spreadsheets/d/1tdoBKaGub7dwA3U6UFTqxio9LNnvDCQjHKmttSEBsFQ/edit?usp=sharing"",""จัดที่ดิน!AW25"")"),0)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IFERROR(__xludf.DUMMYFUNCTION("IMPORTRANGE(""https://docs.google.com/spreadsheets/d/1eHaY18a8A9IcSdp1K8H6x8fbOy06t2VsZHhMHf-1x7Y/edit?usp=sharing"",""แผน!IH25"")"),0)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IFERROR(__xludf.DUMMYFUNCTION("IMPORTRANGE(""https://docs.google.com/spreadsheets/d/1eHaY18a8A9IcSdp1K8H6x8fbOy06t2VsZHhMHf-1x7Y/edit?usp=sharing"",""แผน!II25"")"),0)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IFERROR(__xludf.DUMMYFUNCTION("IMPORTRANGE(""https://docs.google.com/spreadsheets/d/1eHaY18a8A9IcSdp1K8H6x8fbOy06t2VsZHhMHf-1x7Y/edit?usp=sharing"",""แผน!IJ25"")"),0)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IFERROR(__xludf.DUMMYFUNCTION("IMPORTRANGE(""https://docs.google.com/spreadsheets/d/1eHaY18a8A9IcSdp1K8H6x8fbOy06t2VsZHhMHf-1x7Y/edit?usp=sharing"",""แผน!IK25"")"),0)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IFERROR(__xludf.DUMMYFUNCTION("IMPORTRANGE(""https://docs.google.com/spreadsheets/d/1tdoBKaGub7dwA3U6UFTqxio9LNnvDCQjHKmttSEBsFQ/edit?usp=sharing"",""จัดที่ดิน!AY25"")"),0)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IFERROR(__xludf.DUMMYFUNCTION("IMPORTRANGE(""https://docs.google.com/spreadsheets/d/1tdoBKaGub7dwA3U6UFTqxio9LNnvDCQjHKmttSEBsFQ/edit?usp=sharing"",""จัดที่ดิน!AZ25"")"),0)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IFERROR(__xludf.DUMMYFUNCTION("IMPORTRANGE(""https://docs.google.com/spreadsheets/d/1eHaY18a8A9IcSdp1K8H6x8fbOy06t2VsZHhMHf-1x7Y/edit?usp=sharing"",""แผน!IL25"")"),0)</f>
        <v>0</v>
      </c>
      <c r="J673" s="184">
        <f ca="1">IFERROR(__xludf.DUMMYFUNCTION("IMPORTRANGE(""https://docs.google.com/spreadsheets/d/1tdoBKaGub7dwA3U6UFTqxio9LNnvDCQjHKmttSEBsFQ/edit?usp=sharing"",""จัดที่ดิน!BA25"")"),0)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IFERROR(__xludf.DUMMYFUNCTION("IMPORTRANGE(""https://docs.google.com/spreadsheets/d/1eHaY18a8A9IcSdp1K8H6x8fbOy06t2VsZHhMHf-1x7Y/edit?usp=sharing"",""แผน!IM25"")"),0)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IFERROR(__xludf.DUMMYFUNCTION("IMPORTRANGE(""https://docs.google.com/spreadsheets/d/1eHaY18a8A9IcSdp1K8H6x8fbOy06t2VsZHhMHf-1x7Y/edit?usp=sharing"",""แผน!IN25"")"),0)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IFERROR(__xludf.DUMMYFUNCTION("IMPORTRANGE(""https://docs.google.com/spreadsheets/d/1eHaY18a8A9IcSdp1K8H6x8fbOy06t2VsZHhMHf-1x7Y/edit?usp=sharing"",""แผน!IO25"")"),0)</f>
        <v>0</v>
      </c>
      <c r="J676" s="184">
        <f ca="1">IFERROR(__xludf.DUMMYFUNCTION("IMPORTRANGE(""https://docs.google.com/spreadsheets/d/1tdoBKaGub7dwA3U6UFTqxio9LNnvDCQjHKmttSEBsFQ/edit?usp=sharing"",""จัดที่ดิน!BF25"")"),0)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IFERROR(__xludf.DUMMYFUNCTION("IMPORTRANGE(""https://docs.google.com/spreadsheets/d/1tdoBKaGub7dwA3U6UFTqxio9LNnvDCQjHKmttSEBsFQ/edit?usp=sharing"",""จัดที่ดิน!BG25"")"),0)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IFERROR(__xludf.DUMMYFUNCTION("IMPORTRANGE(""https://docs.google.com/spreadsheets/d/1eHaY18a8A9IcSdp1K8H6x8fbOy06t2VsZHhMHf-1x7Y/edit?usp=sharing"",""แผน!IP25"")"),0)</f>
        <v>0</v>
      </c>
      <c r="J678" s="184">
        <f ca="1">IFERROR(__xludf.DUMMYFUNCTION("IMPORTRANGE(""https://docs.google.com/spreadsheets/d/1tdoBKaGub7dwA3U6UFTqxio9LNnvDCQjHKmttSEBsFQ/edit?usp=sharing"",""จัดที่ดิน!BH25"")"),0)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IFERROR(__xludf.DUMMYFUNCTION("IMPORTRANGE(""https://docs.google.com/spreadsheets/d/1eHaY18a8A9IcSdp1K8H6x8fbOy06t2VsZHhMHf-1x7Y/edit?usp=sharing"",""แผน!IQ25"")"),0)</f>
        <v>0</v>
      </c>
      <c r="J679" s="184">
        <f ca="1">IFERROR(__xludf.DUMMYFUNCTION("IMPORTRANGE(""https://docs.google.com/spreadsheets/d/1tdoBKaGub7dwA3U6UFTqxio9LNnvDCQjHKmttSEBsFQ/edit?usp=sharing"",""จัดที่ดิน!BK25"")"),0)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IFERROR(__xludf.DUMMYFUNCTION("IMPORTRANGE(""https://docs.google.com/spreadsheets/d/1tdoBKaGub7dwA3U6UFTqxio9LNnvDCQjHKmttSEBsFQ/edit?usp=sharing"",""จัดที่ดิน!BL25"")"),0)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IFERROR(__xludf.DUMMYFUNCTION("IMPORTRANGE(""https://docs.google.com/spreadsheets/d/1eHaY18a8A9IcSdp1K8H6x8fbOy06t2VsZHhMHf-1x7Y/edit?usp=sharing"",""แผน!IR25"")"),0)</f>
        <v>0</v>
      </c>
      <c r="J681" s="184">
        <f ca="1">IFERROR(__xludf.DUMMYFUNCTION("IMPORTRANGE(""https://docs.google.com/spreadsheets/d/1tdoBKaGub7dwA3U6UFTqxio9LNnvDCQjHKmttSEBsFQ/edit?usp=sharing"",""จัดที่ดิน!BM25"")"),0)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IFERROR(__xludf.DUMMYFUNCTION("IMPORTRANGE(""https://docs.google.com/spreadsheets/d/1eHaY18a8A9IcSdp1K8H6x8fbOy06t2VsZHhMHf-1x7Y/edit?usp=sharing"",""แผน!IS25"")"),0)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2" t="s">
        <v>35</v>
      </c>
      <c r="I689" s="871">
        <f ca="1">I707</f>
        <v>0</v>
      </c>
      <c r="J689" s="871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97970</v>
      </c>
      <c r="R690" s="547">
        <f ca="1">R691+R692</f>
        <v>97970</v>
      </c>
      <c r="S690" s="547">
        <f ca="1">S691+S692</f>
        <v>17546</v>
      </c>
      <c r="T690" s="547">
        <f ca="1">IF(Q690&gt;0,S690*100/Q690,0)</f>
        <v>17.909564152291519</v>
      </c>
      <c r="U690" s="547">
        <f ca="1">IF(R690&gt;0,S690*100/R690,0)</f>
        <v>17.909564152291519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97970</v>
      </c>
      <c r="R692" s="224">
        <f ca="1">R695+R698</f>
        <v>97970</v>
      </c>
      <c r="S692" s="224">
        <f ca="1">S695+S698</f>
        <v>17546</v>
      </c>
      <c r="T692" s="224">
        <f ca="1">IF(Q692&gt;0,S692*100/Q692,0)</f>
        <v>17.909564152291519</v>
      </c>
      <c r="U692" s="224">
        <f ca="1">IF(R692&gt;0,S692*100/R692,0)</f>
        <v>17.909564152291519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97970</v>
      </c>
      <c r="R693" s="224">
        <f ca="1">R694+R695</f>
        <v>97970</v>
      </c>
      <c r="S693" s="224">
        <f ca="1">S694+S695</f>
        <v>17546</v>
      </c>
      <c r="T693" s="224">
        <f ca="1">IF(Q693&gt;0,S693*100/Q693,0)</f>
        <v>17.909564152291519</v>
      </c>
      <c r="U693" s="224">
        <f ca="1">IF(R693&gt;0,S693*100/R693,0)</f>
        <v>17.909564152291519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5" s="224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5" s="224">
        <f ca="1">IFERROR(__xludf.DUMMYFUNCTION("IMPORTRANGE(""https://docs.google.com/spreadsheets/d/1ItG2mGa2ceCfYo0BwxsXqNm01IGEUdYcSSLTEv9YCik/edit?usp=sharing"",""เบิกจ่ายกองทุน!N25"")"),17546)</f>
        <v>17546</v>
      </c>
      <c r="T695" s="224">
        <f ca="1">IF(Q695&gt;0,S695*100/Q695,0)</f>
        <v>17.909564152291519</v>
      </c>
      <c r="U695" s="224">
        <f ca="1">IF(R695&gt;0,S695*100/R695,0)</f>
        <v>17.909564152291519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IFERROR(__xludf.DUMMYFUNCTION("IMPORTRANGE(""https://docs.google.com/spreadsheets/d/1eHaY18a8A9IcSdp1K8H6x8fbOy06t2VsZHhMHf-1x7Y/edit?usp=sharing"",""แผน!LC25"")"),1)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IFERROR(__xludf.DUMMYFUNCTION("IMPORTRANGE(""https://docs.google.com/spreadsheets/d/1eHaY18a8A9IcSdp1K8H6x8fbOy06t2VsZHhMHf-1x7Y/edit?usp=sharing"",""แผน!LJ25"")"),0)</f>
        <v>0</v>
      </c>
      <c r="J703" s="184">
        <f ca="1">IFERROR(__xludf.DUMMYFUNCTION("IMPORTRANGE(""https://docs.google.com/spreadsheets/d/1tdoBKaGub7dwA3U6UFTqxio9LNnvDCQjHKmttSEBsFQ/edit?usp=sharing"",""จัดที่ดิน!AP25"")"),0)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IFERROR(__xludf.DUMMYFUNCTION("IMPORTRANGE(""https://docs.google.com/spreadsheets/d/1tdoBKaGub7dwA3U6UFTqxio9LNnvDCQjHKmttSEBsFQ/edit?usp=sharing"",""จัดที่ดิน!AQ25"")"),0)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IFERROR(__xludf.DUMMYFUNCTION("IMPORTRANGE(""https://docs.google.com/spreadsheets/d/1eHaY18a8A9IcSdp1K8H6x8fbOy06t2VsZHhMHf-1x7Y/edit?usp=sharing"",""แผน!LK25"")"),2)</f>
        <v>2</v>
      </c>
      <c r="J705" s="184">
        <f ca="1">IFERROR(__xludf.DUMMYFUNCTION("IMPORTRANGE(""https://docs.google.com/spreadsheets/d/1tdoBKaGub7dwA3U6UFTqxio9LNnvDCQjHKmttSEBsFQ/edit?usp=sharing"",""จัดที่ดิน!AR25"")"),0)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IFERROR(__xludf.DUMMYFUNCTION("IMPORTRANGE(""https://docs.google.com/spreadsheets/d/1tdoBKaGub7dwA3U6UFTqxio9LNnvDCQjHKmttSEBsFQ/edit?usp=sharing"",""จัดที่ดิน!AS25"")"),0)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IFERROR(__xludf.DUMMYFUNCTION("IMPORTRANGE(""https://docs.google.com/spreadsheets/d/1eHaY18a8A9IcSdp1K8H6x8fbOy06t2VsZHhMHf-1x7Y/edit?usp=sharing"",""แผน!LJ25"")"),0)</f>
        <v>0</v>
      </c>
      <c r="J707" s="184">
        <f ca="1">IFERROR(__xludf.DUMMYFUNCTION("IMPORTRANGE(""https://docs.google.com/spreadsheets/d/1tdoBKaGub7dwA3U6UFTqxio9LNnvDCQjHKmttSEBsFQ/edit?usp=sharing"",""จัดที่ดิน!BN25"")"),0)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IFERROR(__xludf.DUMMYFUNCTION("IMPORTRANGE(""https://docs.google.com/spreadsheets/d/1tdoBKaGub7dwA3U6UFTqxio9LNnvDCQjHKmttSEBsFQ/edit?usp=sharing"",""จัดที่ดิน!BO25"")"),0)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IFERROR(__xludf.DUMMYFUNCTION("IMPORTRANGE(""https://docs.google.com/spreadsheets/d/1eHaY18a8A9IcSdp1K8H6x8fbOy06t2VsZHhMHf-1x7Y/edit?usp=sharing"",""แผน!LK25"")"),2)</f>
        <v>2</v>
      </c>
      <c r="J709" s="184">
        <f ca="1">IFERROR(__xludf.DUMMYFUNCTION("IMPORTRANGE(""https://docs.google.com/spreadsheets/d/1tdoBKaGub7dwA3U6UFTqxio9LNnvDCQjHKmttSEBsFQ/edit?usp=sharing"",""จัดที่ดิน!BP25"")"),0)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IFERROR(__xludf.DUMMYFUNCTION("IMPORTRANGE(""https://docs.google.com/spreadsheets/d/1tdoBKaGub7dwA3U6UFTqxio9LNnvDCQjHKmttSEBsFQ/edit?usp=sharing"",""จัดที่ดิน!BQ25"")"),0)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IFERROR(__xludf.DUMMYFUNCTION("IMPORTRANGE(""https://docs.google.com/spreadsheets/d/1eHaY18a8A9IcSdp1K8H6x8fbOy06t2VsZHhMHf-1x7Y/edit?usp=sharing"",""แผน!GA25"")"),16)</f>
        <v>16</v>
      </c>
      <c r="J726" s="552">
        <f>J742+J746+J749</f>
        <v>19</v>
      </c>
      <c r="K726" s="551">
        <f ca="1">IF(I726&gt;0,J726*100/I726,0)</f>
        <v>118.75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IFERROR(__xludf.DUMMYFUNCTION("IMPORTRANGE(""https://docs.google.com/spreadsheets/d/1eHaY18a8A9IcSdp1K8H6x8fbOy06t2VsZHhMHf-1x7Y/edit?usp=sharing"",""แผน!FZ25"")"),150)</f>
        <v>150</v>
      </c>
      <c r="J727" s="552">
        <f>J752+J755</f>
        <v>91</v>
      </c>
      <c r="K727" s="551">
        <f ca="1">IF(I727&gt;0,J727*100/I727,0)</f>
        <v>60.666666666666664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144438</v>
      </c>
      <c r="R728" s="547">
        <f ca="1">R729+R730</f>
        <v>169438</v>
      </c>
      <c r="S728" s="547">
        <f ca="1">S729+S730</f>
        <v>145018</v>
      </c>
      <c r="T728" s="547">
        <f ca="1">IF(Q728&gt;0,S728*100/Q728,0)</f>
        <v>100.40155637713067</v>
      </c>
      <c r="U728" s="547">
        <f ca="1">IF(R728&gt;0,S728*100/R728,0)</f>
        <v>85.587648579421383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144438</v>
      </c>
      <c r="R730" s="224">
        <f ca="1">R733+R736</f>
        <v>169438</v>
      </c>
      <c r="S730" s="224">
        <f ca="1">S733+S736</f>
        <v>145018</v>
      </c>
      <c r="T730" s="224">
        <f ca="1">IF(Q730&gt;0,S730*100/Q730,0)</f>
        <v>100.40155637713067</v>
      </c>
      <c r="U730" s="224">
        <f ca="1">IF(R730&gt;0,S730*100/R730,0)</f>
        <v>85.587648579421383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144438</v>
      </c>
      <c r="R731" s="224">
        <f ca="1">R732+R733</f>
        <v>169438</v>
      </c>
      <c r="S731" s="224">
        <f ca="1">S732+S733</f>
        <v>145018</v>
      </c>
      <c r="T731" s="224">
        <f ca="1">IF(Q731&gt;0,S731*100/Q731,0)</f>
        <v>100.40155637713067</v>
      </c>
      <c r="U731" s="224">
        <f ca="1">IF(R731&gt;0,S731*100/R731,0)</f>
        <v>85.587648579421383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3" s="224">
        <f ca="1">IFERROR(__xludf.DUMMYFUNCTION("IMPORTRANGE(""https://docs.google.com/spreadsheets/d/1ItG2mGa2ceCfYo0BwxsXqNm01IGEUdYcSSLTEv9YCik/edit?usp=sharing"",""เบิกจ่ายกองทุน!P25"")"),169438)</f>
        <v>169438</v>
      </c>
      <c r="S733" s="224">
        <f ca="1">IFERROR(__xludf.DUMMYFUNCTION("IMPORTRANGE(""https://docs.google.com/spreadsheets/d/1ItG2mGa2ceCfYo0BwxsXqNm01IGEUdYcSSLTEv9YCik/edit?usp=sharing"",""เบิกจ่ายกองทุน!Q25"")"),145018)</f>
        <v>145018</v>
      </c>
      <c r="T733" s="224">
        <f ca="1">IF(Q733&gt;0,S733*100/Q733,0)</f>
        <v>100.40155637713067</v>
      </c>
      <c r="U733" s="224">
        <f ca="1">IF(R733&gt;0,S733*100/R733,0)</f>
        <v>85.587648579421383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IFERROR(__xludf.DUMMYFUNCTION("IMPORTRANGE(""https://docs.google.com/spreadsheets/d/1eHaY18a8A9IcSdp1K8H6x8fbOy06t2VsZHhMHf-1x7Y/edit?usp=sharing"",""แผน!GB25"")"),120)</f>
        <v>120</v>
      </c>
      <c r="J740" s="555">
        <v>164</v>
      </c>
      <c r="K740" s="558">
        <f ca="1">IF(I740&gt;0,J740*100/I740,0)</f>
        <v>136.66666666666666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15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IFERROR(__xludf.DUMMYFUNCTION("IMPORTRANGE(""https://docs.google.com/spreadsheets/d/1eHaY18a8A9IcSdp1K8H6x8fbOy06t2VsZHhMHf-1x7Y/edit?usp=sharing"",""แผน!GC25"")"),12)</f>
        <v>12</v>
      </c>
      <c r="J742" s="555">
        <v>15</v>
      </c>
      <c r="K742" s="558">
        <f ca="1">IF(I742&gt;0,J742*100/I742,0)</f>
        <v>125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IFERROR(__xludf.DUMMYFUNCTION("IMPORTRANGE(""https://docs.google.com/spreadsheets/d/1eHaY18a8A9IcSdp1K8H6x8fbOy06t2VsZHhMHf-1x7Y/edit?usp=sharing"",""แผน!GD25"")"),30)</f>
        <v>30</v>
      </c>
      <c r="J744" s="555">
        <v>31</v>
      </c>
      <c r="K744" s="558">
        <f ca="1">IF(I744&gt;0,J744*100/I744,0)</f>
        <v>103.33333333333333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IFERROR(__xludf.DUMMYFUNCTION("IMPORTRANGE(""https://docs.google.com/spreadsheets/d/1eHaY18a8A9IcSdp1K8H6x8fbOy06t2VsZHhMHf-1x7Y/edit?usp=sharing"",""แผน!GE25"")"),3)</f>
        <v>3</v>
      </c>
      <c r="J746" s="555">
        <v>3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IFERROR(__xludf.DUMMYFUNCTION("IMPORTRANGE(""https://docs.google.com/spreadsheets/d/1eHaY18a8A9IcSdp1K8H6x8fbOy06t2VsZHhMHf-1x7Y/edit?usp=sharing"",""แผน!GF25"")"),1)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IFERROR(__xludf.DUMMYFUNCTION("IMPORTRANGE(""https://docs.google.com/spreadsheets/d/1eHaY18a8A9IcSdp1K8H6x8fbOy06t2VsZHhMHf-1x7Y/edit?usp=sharing"",""แผน!GB25"")"),120)</f>
        <v>120</v>
      </c>
      <c r="J752" s="555">
        <v>77</v>
      </c>
      <c r="K752" s="558">
        <f ca="1">IF(I752&gt;0,J752*100/I752,0)</f>
        <v>64.166666666666671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87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IFERROR(__xludf.DUMMYFUNCTION("IMPORTRANGE(""https://docs.google.com/spreadsheets/d/1eHaY18a8A9IcSdp1K8H6x8fbOy06t2VsZHhMHf-1x7Y/edit?usp=sharing"",""แผน!GD25"")"),30)</f>
        <v>30</v>
      </c>
      <c r="J755" s="555">
        <v>14</v>
      </c>
      <c r="K755" s="558">
        <f ca="1">IF(I755&gt;0,J755*100/I755,0)</f>
        <v>46.666666666666664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17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9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422100</v>
      </c>
      <c r="R760" s="547">
        <f ca="1">R761+R762</f>
        <v>422100</v>
      </c>
      <c r="S760" s="547">
        <f ca="1">S761+S762</f>
        <v>396100</v>
      </c>
      <c r="T760" s="547">
        <f ca="1">IF(Q760&gt;0,S760*100/Q760,0)</f>
        <v>93.840322198531155</v>
      </c>
      <c r="U760" s="547">
        <f ca="1">IF(R760&gt;0,S760*100/R760,0)</f>
        <v>93.840322198531155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422100</v>
      </c>
      <c r="R762" s="224">
        <f ca="1">R765+R768</f>
        <v>422100</v>
      </c>
      <c r="S762" s="224">
        <f ca="1">S765+S768</f>
        <v>396100</v>
      </c>
      <c r="T762" s="224">
        <f ca="1">IF(Q762&gt;0,S762*100/Q762,0)</f>
        <v>93.840322198531155</v>
      </c>
      <c r="U762" s="224">
        <f ca="1">IF(R762&gt;0,S762*100/R762,0)</f>
        <v>93.840322198531155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422100</v>
      </c>
      <c r="R763" s="224">
        <f ca="1">R764+R765</f>
        <v>422100</v>
      </c>
      <c r="S763" s="224">
        <f ca="1">S764+S765</f>
        <v>396100</v>
      </c>
      <c r="T763" s="224">
        <f ca="1">IF(Q763&gt;0,S763*100/Q763,0)</f>
        <v>93.840322198531155</v>
      </c>
      <c r="U763" s="224">
        <f ca="1">IF(R763&gt;0,S763*100/R763,0)</f>
        <v>93.840322198531155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IFERROR(__xludf.DUMMYFUNCTION("IMPORTRANGE(""https://docs.google.com/spreadsheets/d/1ItG2mGa2ceCfYo0BwxsXqNm01IGEUdYcSSLTEv9YCik/edit?usp=sharing"",""เบิกจ่ายกองทุน!AA25"")"),422100)</f>
        <v>422100</v>
      </c>
      <c r="R765" s="224">
        <f ca="1">IFERROR(__xludf.DUMMYFUNCTION("IMPORTRANGE(""https://docs.google.com/spreadsheets/d/1ItG2mGa2ceCfYo0BwxsXqNm01IGEUdYcSSLTEv9YCik/edit?usp=sharing"",""เบิกจ่ายกองทุน!AB25"")"),422100)</f>
        <v>422100</v>
      </c>
      <c r="S765" s="224">
        <f ca="1">IFERROR(__xludf.DUMMYFUNCTION("IMPORTRANGE(""https://docs.google.com/spreadsheets/d/1ItG2mGa2ceCfYo0BwxsXqNm01IGEUdYcSSLTEv9YCik/edit?usp=sharing"",""เบิกจ่ายกองทุน!AC25"")"),396100)</f>
        <v>396100</v>
      </c>
      <c r="T765" s="224">
        <f ca="1">IF(Q765&gt;0,S765*100/Q765,0)</f>
        <v>93.840322198531155</v>
      </c>
      <c r="U765" s="224">
        <f ca="1">IF(R765&gt;0,S765*100/R765,0)</f>
        <v>93.840322198531155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IFERROR(__xludf.DUMMYFUNCTION("IMPORTRANGE(""https://docs.google.com/spreadsheets/d/1eHaY18a8A9IcSdp1K8H6x8fbOy06t2VsZHhMHf-1x7Y/edit?usp=sharing"",""แผน!FI25"")"),1)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IFERROR(__xludf.DUMMYFUNCTION("IMPORTRANGE(""https://docs.google.com/spreadsheets/d/1eHaY18a8A9IcSdp1K8H6x8fbOy06t2VsZHhMHf-1x7Y/edit?usp=sharing"",""แผน!FQ25"")"),60)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IFERROR(__xludf.DUMMYFUNCTION("IMPORTRANGE(""https://docs.google.com/spreadsheets/d/1eHaY18a8A9IcSdp1K8H6x8fbOy06t2VsZHhMHf-1x7Y/edit?usp=sharing"",""แผน!FR25"")"),120)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IFERROR(__xludf.DUMMYFUNCTION("IMPORTRANGE(""https://docs.google.com/spreadsheets/d/1eHaY18a8A9IcSdp1K8H6x8fbOy06t2VsZHhMHf-1x7Y/edit?usp=sharing"",""แผน!FS25"")"),120)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IFERROR(__xludf.DUMMYFUNCTION("IMPORTRANGE(""https://docs.google.com/spreadsheets/d/1eHaY18a8A9IcSdp1K8H6x8fbOy06t2VsZHhMHf-1x7Y/edit?usp=sharing"",""แผน!FT25"")"),60)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IFERROR(__xludf.DUMMYFUNCTION("IMPORTRANGE(""https://docs.google.com/spreadsheets/d/10OvvATaaLtwErnr3qtWFcTmtbfpFEt5Bsqel9sXx0uE/edit?usp=sharing"",""งานกองทุน!D25"")"),1038437.11)</f>
        <v>1038437.11</v>
      </c>
      <c r="J778" s="184">
        <f ca="1">IFERROR(__xludf.DUMMYFUNCTION("IMPORTRANGE(""https://docs.google.com/spreadsheets/d/10OvvATaaLtwErnr3qtWFcTmtbfpFEt5Bsqel9sXx0uE/edit?usp=sharing"",""งานกองทุน!F25"")"),978646.17)</f>
        <v>978646.17</v>
      </c>
      <c r="K778" s="224">
        <f ca="1">IF(I778&gt;0,J778*100/I778,0)</f>
        <v>94.242218481579499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IFERROR(__xludf.DUMMYFUNCTION("IMPORTRANGE(""https://docs.google.com/spreadsheets/d/10OvvATaaLtwErnr3qtWFcTmtbfpFEt5Bsqel9sXx0uE/edit?usp=sharing"",""งานกองทุน!C25"")"),107)</f>
        <v>107</v>
      </c>
      <c r="J779" s="184">
        <f ca="1">IFERROR(__xludf.DUMMYFUNCTION("IMPORTRANGE(""https://docs.google.com/spreadsheets/d/10OvvATaaLtwErnr3qtWFcTmtbfpFEt5Bsqel9sXx0uE/edit?usp=sharing"",""งานกองทุน!E25"")"),98)</f>
        <v>98</v>
      </c>
      <c r="K779" s="224">
        <f ca="1">IF(I779&gt;0,J779*100/I779,0)</f>
        <v>91.588785046728972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4">
        <f ca="1">IFERROR(__xludf.DUMMYFUNCTION("IMPORTRANGE(""https://docs.google.com/spreadsheets/d/10OvvATaaLtwErnr3qtWFcTmtbfpFEt5Bsqel9sXx0uE/edit?usp=sharing"",""งานกองทุน!K25"")"),166745.26)</f>
        <v>166745.26</v>
      </c>
      <c r="K780" s="224">
        <f ca="1">IF(I780&gt;0,J780*100/I780,0)</f>
        <v>52.319795461593884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IFERROR(__xludf.DUMMYFUNCTION("IMPORTRANGE(""https://docs.google.com/spreadsheets/d/10OvvATaaLtwErnr3qtWFcTmtbfpFEt5Bsqel9sXx0uE/edit?usp=sharing"",""งานกองทุน!H25"")"),18)</f>
        <v>18</v>
      </c>
      <c r="J781" s="184">
        <f ca="1">IFERROR(__xludf.DUMMYFUNCTION("IMPORTRANGE(""https://docs.google.com/spreadsheets/d/10OvvATaaLtwErnr3qtWFcTmtbfpFEt5Bsqel9sXx0uE/edit?usp=sharing"",""งานกองทุน!J25"")"),14)</f>
        <v>14</v>
      </c>
      <c r="K781" s="224">
        <f ca="1">IF(I781&gt;0,J781*100/I781,0)</f>
        <v>77.777777777777771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IFERROR(__xludf.DUMMYFUNCTION("IMPORTRANGE(""https://docs.google.com/spreadsheets/d/10OvvATaaLtwErnr3qtWFcTmtbfpFEt5Bsqel9sXx0uE/edit?usp=sharing"",""งานกองทุน!N25"")"),0)</f>
        <v>0</v>
      </c>
      <c r="J782" s="184">
        <f ca="1">IFERROR(__xludf.DUMMYFUNCTION("IMPORTRANGE(""https://docs.google.com/spreadsheets/d/10OvvATaaLtwErnr3qtWFcTmtbfpFEt5Bsqel9sXx0uE/edit?usp=sharing"",""งานกองทุน!P25"")"),0)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IFERROR(__xludf.DUMMYFUNCTION("IMPORTRANGE(""https://docs.google.com/spreadsheets/d/10OvvATaaLtwErnr3qtWFcTmtbfpFEt5Bsqel9sXx0uE/edit?usp=sharing"",""งานกองทุน!M25"")"),0)</f>
        <v>0</v>
      </c>
      <c r="J783" s="184">
        <f ca="1">IFERROR(__xludf.DUMMYFUNCTION("IMPORTRANGE(""https://docs.google.com/spreadsheets/d/10OvvATaaLtwErnr3qtWFcTmtbfpFEt5Bsqel9sXx0uE/edit?usp=sharing"",""งานกองทุน!O25"")"),0)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IFERROR(__xludf.DUMMYFUNCTION("IMPORTRANGE(""https://docs.google.com/spreadsheets/d/10OvvATaaLtwErnr3qtWFcTmtbfpFEt5Bsqel9sXx0uE/edit?usp=sharing"",""งานกองทุน!S25"")"),1652000)</f>
        <v>1652000</v>
      </c>
      <c r="J784" s="184">
        <f ca="1">IFERROR(__xludf.DUMMYFUNCTION("IMPORTRANGE(""https://docs.google.com/spreadsheets/d/10OvvATaaLtwErnr3qtWFcTmtbfpFEt5Bsqel9sXx0uE/edit?usp=sharing"",""งานกองทุน!U25"")"),1652000)</f>
        <v>1652000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IFERROR(__xludf.DUMMYFUNCTION("IMPORTRANGE(""https://docs.google.com/spreadsheets/d/10OvvATaaLtwErnr3qtWFcTmtbfpFEt5Bsqel9sXx0uE/edit?usp=sharing"",""งานกองทุน!R25"")"),59)</f>
        <v>59</v>
      </c>
      <c r="J785" s="188">
        <f ca="1">IFERROR(__xludf.DUMMYFUNCTION("IMPORTRANGE(""https://docs.google.com/spreadsheets/d/10OvvATaaLtwErnr3qtWFcTmtbfpFEt5Bsqel9sXx0uE/edit?usp=sharing"",""งานกองทุน!T25"")"),44)</f>
        <v>44</v>
      </c>
      <c r="K785" s="508">
        <f ca="1">IF(I785&gt;0,J785*100/I785,0)</f>
        <v>74.576271186440678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A0E19-FAEC-4D16-9C19-E5BF692B526F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340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4160186</v>
      </c>
      <c r="M18" s="755">
        <f ca="1">M19+M20</f>
        <v>4521819</v>
      </c>
      <c r="N18" s="755">
        <f ca="1">N19+N20</f>
        <v>3851229.5999999996</v>
      </c>
      <c r="O18" s="755">
        <f ca="1">IF(L18&gt;0,N18*100/L18,0)</f>
        <v>92.573495511979502</v>
      </c>
      <c r="P18" s="755">
        <f ca="1">IF(M18&gt;0,N18*100/M18,0)</f>
        <v>85.169919450557387</v>
      </c>
      <c r="Q18" s="755">
        <f ca="1">Q19+Q20</f>
        <v>3979513.39</v>
      </c>
      <c r="R18" s="755">
        <f ca="1">R19+R20</f>
        <v>3983713</v>
      </c>
      <c r="S18" s="755">
        <f ca="1">S19+S20</f>
        <v>2082338.7100000002</v>
      </c>
      <c r="T18" s="755">
        <f ca="1">IF(Q18&gt;0,S18*100/Q18,0)</f>
        <v>52.326465723991454</v>
      </c>
      <c r="U18" s="755">
        <f ca="1">IF(R18&gt;0,S18*100/R18,0)</f>
        <v>52.271303429740051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4160186</v>
      </c>
      <c r="M20" s="794">
        <f ca="1">M23+M26</f>
        <v>4521819</v>
      </c>
      <c r="N20" s="794">
        <f ca="1">N23+N26</f>
        <v>3851229.5999999996</v>
      </c>
      <c r="O20" s="794">
        <f ca="1">IF(L20&gt;0,N20*100/L20,0)</f>
        <v>92.573495511979502</v>
      </c>
      <c r="P20" s="794">
        <f ca="1">IF(M20&gt;0,N20*100/M20,0)</f>
        <v>85.169919450557387</v>
      </c>
      <c r="Q20" s="794">
        <f ca="1">Q23+Q26</f>
        <v>3979513.39</v>
      </c>
      <c r="R20" s="794">
        <f ca="1">R23+R26</f>
        <v>3983713</v>
      </c>
      <c r="S20" s="794">
        <f ca="1">S23+S26</f>
        <v>2082338.7100000002</v>
      </c>
      <c r="T20" s="794">
        <f ca="1">IF(Q20&gt;0,S20*100/Q20,0)</f>
        <v>52.326465723991454</v>
      </c>
      <c r="U20" s="794">
        <f ca="1">IF(R20&gt;0,S20*100/R20,0)</f>
        <v>52.271303429740051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3662786</v>
      </c>
      <c r="M21" s="224">
        <f ca="1">M22+M23</f>
        <v>4025319</v>
      </c>
      <c r="N21" s="224">
        <f ca="1">N22+N23</f>
        <v>3644729.5999999996</v>
      </c>
      <c r="O21" s="224">
        <f ca="1">IF(L21&gt;0,N21*100/L21,0)</f>
        <v>99.507030986795286</v>
      </c>
      <c r="P21" s="224">
        <f ca="1">IF(M21&gt;0,N21*100/M21,0)</f>
        <v>90.545112076831657</v>
      </c>
      <c r="Q21" s="224">
        <f ca="1">Q22+Q23</f>
        <v>3589513.39</v>
      </c>
      <c r="R21" s="224">
        <f ca="1">R22+R23</f>
        <v>3593713</v>
      </c>
      <c r="S21" s="224">
        <f ca="1">S22+S23</f>
        <v>2082338.7100000002</v>
      </c>
      <c r="T21" s="224">
        <f ca="1">IF(Q21&gt;0,S21*100/Q21,0)</f>
        <v>58.011727043592394</v>
      </c>
      <c r="U21" s="224">
        <f ca="1">IF(R21&gt;0,S21*100/R21,0)</f>
        <v>57.943934587987421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3662786</v>
      </c>
      <c r="M23" s="224">
        <f ca="1">M49+M64+M77+M99+M122+M144+M162+M191+M178+M271+M287+M308+M325+M338+M361+M380+M418+M498+M518+M539+M560+M581+M604+M621+M647+M695+M719+M733+M765</f>
        <v>4025319</v>
      </c>
      <c r="N23" s="224">
        <f ca="1">N49+N64+N77+N99+N122+N144+N162+N191+N178+N271+N287+N308+N325+N338+N361+N380+N418+N498+N518+N539+N560+N581+N604+N621+N647+N695+N719+N733+N765</f>
        <v>3644729.5999999996</v>
      </c>
      <c r="O23" s="224">
        <f ca="1">IF(L23&gt;0,N23*100/L23,0)</f>
        <v>99.507030986795286</v>
      </c>
      <c r="P23" s="224">
        <f ca="1">IF(M23&gt;0,N23*100/M23,0)</f>
        <v>90.545112076831657</v>
      </c>
      <c r="Q23" s="224">
        <f ca="1">Q77+Q99+Q122+Q144+Q162+Q178+Q191+Q271+Q287+Q308+Q338+Q380+Q397+Q418+Q498+Q604+Q621+Q647+Q695+Q719+Q733+Q765</f>
        <v>3589513.39</v>
      </c>
      <c r="R23" s="224">
        <f ca="1">R77+R99+R122+R144+R162+R178+R191+R271+R287+R308+R338+R380+R397+R418+R498+R604+R621+R647+R695+R719+R733+R765</f>
        <v>3593713</v>
      </c>
      <c r="S23" s="224">
        <f ca="1">S77+S99+S122+S144+S162+S178+S191+S271+S287+S308+S338+S380+S397+S418+S498+S604+S621+S647+S695+S719+S733+S765</f>
        <v>2082338.7100000002</v>
      </c>
      <c r="T23" s="224">
        <f ca="1">IF(Q23&gt;0,S23*100/Q23,0)</f>
        <v>58.011727043592394</v>
      </c>
      <c r="U23" s="224">
        <f ca="1">IF(R23&gt;0,S23*100/R23,0)</f>
        <v>57.943934587987421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497400</v>
      </c>
      <c r="M24" s="224">
        <f ca="1">M25+M26</f>
        <v>496500</v>
      </c>
      <c r="N24" s="224">
        <f ca="1">N25+N26</f>
        <v>206500</v>
      </c>
      <c r="O24" s="224">
        <f ca="1">IF(L24&gt;0,N24*100/L24,0)</f>
        <v>41.515882589465221</v>
      </c>
      <c r="P24" s="224">
        <f ca="1">IF(M24&gt;0,N24*100/M24,0)</f>
        <v>41.591137965760325</v>
      </c>
      <c r="Q24" s="224">
        <f ca="1">Q25+Q26</f>
        <v>390000</v>
      </c>
      <c r="R24" s="224">
        <f ca="1">R25+R26</f>
        <v>390000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497400</v>
      </c>
      <c r="M26" s="224">
        <f ca="1">M52+M67+M80+M102+M125+M147+M165+M194+M181+M274+M290+M311+M328+M341+M364+M383+M421+M501+M521+M542+M563+M584+M607+M624+M650+M698+M722+M736+M768</f>
        <v>496500</v>
      </c>
      <c r="N26" s="224">
        <f ca="1">N52+N67+N80+N102+N125+N147+N165+N194+N181+N274+N290+N311+N328+N341+N364+N383+N421+N501+N521+N542+N563+N584+N607+N624+N650+N698+N722+N736+N768</f>
        <v>206500</v>
      </c>
      <c r="O26" s="224">
        <f ca="1">IF(L26&gt;0,N26*100/L26,0)</f>
        <v>41.515882589465221</v>
      </c>
      <c r="P26" s="224">
        <f ca="1">IF(M26&gt;0,N26*100/M26,0)</f>
        <v>41.591137965760325</v>
      </c>
      <c r="Q26" s="83">
        <f ca="1">Q80+Q102+Q125+Q147+Q165+Q181+Q194+Q274+Q290+Q311+Q341+Q383+Q400+Q421+Q501+Q607+Q624+Q650+Q698+Q722+Q736+Q768</f>
        <v>390000</v>
      </c>
      <c r="R26" s="83">
        <f ca="1">R80+R102+R125+R147+R165+R181+R194+R274+R290+R311+R341+R383+R400+R421+R501+R607+R624+R650+R698+R722+R736+R768</f>
        <v>390000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2959060</v>
      </c>
      <c r="M40" s="790">
        <f ca="1">M44+M59+M72+M94+M125+M139+M157+M173+M186+M266+M282+M303+M320+M333+M356</f>
        <v>3398690</v>
      </c>
      <c r="N40" s="790">
        <f ca="1">N44+N59+N72+N94+N125+N139+N157+N173+N186+N266+N282+N303+N320+N333+N356</f>
        <v>3153419.94</v>
      </c>
      <c r="O40" s="790">
        <f ca="1">IF(L40&gt;0,N40*100/L40,0)</f>
        <v>106.56830006826492</v>
      </c>
      <c r="P40" s="790">
        <f ca="1">IF(M40&gt;0,N40*100/M40,0)</f>
        <v>92.783394190114421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541400</v>
      </c>
      <c r="M44" s="784">
        <f ca="1">M45+M46</f>
        <v>586460</v>
      </c>
      <c r="N44" s="784">
        <f ca="1">N45+N46</f>
        <v>542489</v>
      </c>
      <c r="O44" s="784">
        <f ca="1">IF(L44&gt;0,N44*100/L44,0)</f>
        <v>100.20114517916512</v>
      </c>
      <c r="P44" s="784">
        <f ca="1">IF(M44&gt;0,N44*100/M44,0)</f>
        <v>92.502301947276877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541400</v>
      </c>
      <c r="M46" s="778">
        <f ca="1">M49+M52</f>
        <v>586460</v>
      </c>
      <c r="N46" s="778">
        <f ca="1">N49+N52</f>
        <v>542489</v>
      </c>
      <c r="O46" s="778">
        <f ca="1">IF(L46&gt;0,N46*100/L46,0)</f>
        <v>100.20114517916512</v>
      </c>
      <c r="P46" s="778">
        <f ca="1">IF(M46&gt;0,N46*100/M46,0)</f>
        <v>92.502301947276877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541400</v>
      </c>
      <c r="M47" s="224">
        <f ca="1">M48+M49</f>
        <v>586460</v>
      </c>
      <c r="N47" s="224">
        <f ca="1">N48+N49</f>
        <v>542489</v>
      </c>
      <c r="O47" s="224">
        <f ca="1">IF(L47&gt;0,N47*100/L47,0)</f>
        <v>100.20114517916512</v>
      </c>
      <c r="P47" s="224">
        <f ca="1">IF(M47&gt;0,N47*100/M47,0)</f>
        <v>92.502301947276877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IFERROR(__xludf.DUMMYFUNCTION("IMPORTRANGE(""https://docs.google.com/spreadsheets/d/1-uDff_7J0KD5mKrp0Vvzr7lt3OU09vwQwhkpOPPYv2Y/edit?usp=sharing"",""งบพรบ!P26"")"),541400)</f>
        <v>541400</v>
      </c>
      <c r="M49" s="224">
        <f ca="1">IFERROR(__xludf.DUMMYFUNCTION("IMPORTRANGE(""https://docs.google.com/spreadsheets/d/1-uDff_7J0KD5mKrp0Vvzr7lt3OU09vwQwhkpOPPYv2Y/edit?usp=sharing"",""งบพรบ!V26"")"),586460)</f>
        <v>586460</v>
      </c>
      <c r="N49" s="224">
        <f ca="1">IFERROR(__xludf.DUMMYFUNCTION("IMPORTRANGE(""https://docs.google.com/spreadsheets/d/1-uDff_7J0KD5mKrp0Vvzr7lt3OU09vwQwhkpOPPYv2Y/edit?usp=sharing"",""งบพรบ!Y26"")"),542489)</f>
        <v>542489</v>
      </c>
      <c r="O49" s="224">
        <f ca="1">IF(L49&gt;0,N49*100/L49,0)</f>
        <v>100.20114517916512</v>
      </c>
      <c r="P49" s="224">
        <f ca="1">IF(M49&gt;0,N49*100/M49,0)</f>
        <v>92.502301947276877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IFERROR(__xludf.DUMMYFUNCTION("IMPORTRANGE(""https://docs.google.com/spreadsheets/d/1-uDff_7J0KD5mKrp0Vvzr7lt3OU09vwQwhkpOPPYv2Y/edit?usp=sharing"",""งบพรบ!S26"")"),0)</f>
        <v>0</v>
      </c>
      <c r="M52" s="224">
        <f ca="1">IFERROR(__xludf.DUMMYFUNCTION("IMPORTRANGE(""https://docs.google.com/spreadsheets/d/1-uDff_7J0KD5mKrp0Vvzr7lt3OU09vwQwhkpOPPYv2Y/edit?usp=sharing"",""งบพรบ!W26"")"),0)</f>
        <v>0</v>
      </c>
      <c r="N52" s="224">
        <f ca="1">IFERROR(__xludf.DUMMYFUNCTION("IMPORTRANGE(""https://docs.google.com/spreadsheets/d/1-uDff_7J0KD5mKrp0Vvzr7lt3OU09vwQwhkpOPPYv2Y/edit?usp=sharing"",""งบพรบ!Z26"")"),0)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863000</v>
      </c>
      <c r="M59" s="772">
        <f ca="1">M60+M61</f>
        <v>880600</v>
      </c>
      <c r="N59" s="772">
        <f ca="1">N60+N61</f>
        <v>872000.78</v>
      </c>
      <c r="O59" s="772">
        <f ca="1">IF(L59&gt;0,N59*100/L59,0)</f>
        <v>101.0429640787949</v>
      </c>
      <c r="P59" s="772">
        <f ca="1">IF(M59&gt;0,N59*100/M59,0)</f>
        <v>99.023481717011123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863000</v>
      </c>
      <c r="M61" s="766">
        <f ca="1">M64+M67</f>
        <v>880600</v>
      </c>
      <c r="N61" s="766">
        <f ca="1">N64+N67</f>
        <v>872000.78</v>
      </c>
      <c r="O61" s="766">
        <f ca="1">IF(L61&gt;0,N61*100/L61,0)</f>
        <v>101.0429640787949</v>
      </c>
      <c r="P61" s="766">
        <f ca="1">IF(M61&gt;0,N61*100/M61,0)</f>
        <v>99.023481717011123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655600</v>
      </c>
      <c r="M62" s="224">
        <f ca="1">M63+M64</f>
        <v>674100</v>
      </c>
      <c r="N62" s="224">
        <f ca="1">N63+N64</f>
        <v>665500.78</v>
      </c>
      <c r="O62" s="224">
        <f ca="1">IF(L62&gt;0,N62*100/L62,0)</f>
        <v>101.5101860890787</v>
      </c>
      <c r="P62" s="224">
        <f ca="1">IF(M62&gt;0,N62*100/M62,0)</f>
        <v>98.724340602284528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IFERROR(__xludf.DUMMYFUNCTION("IMPORTRANGE(""https://docs.google.com/spreadsheets/d/1-uDff_7J0KD5mKrp0Vvzr7lt3OU09vwQwhkpOPPYv2Y/edit?usp=sharing"",""งบพรบ!AC26"")"),655600)</f>
        <v>655600</v>
      </c>
      <c r="M64" s="224">
        <f ca="1">IFERROR(__xludf.DUMMYFUNCTION("IMPORTRANGE(""https://docs.google.com/spreadsheets/d/1-uDff_7J0KD5mKrp0Vvzr7lt3OU09vwQwhkpOPPYv2Y/edit?usp=sharing"",""งบพรบ!AH26"")"),674100)</f>
        <v>674100</v>
      </c>
      <c r="N64" s="224">
        <f ca="1">IFERROR(__xludf.DUMMYFUNCTION("IMPORTRANGE(""https://docs.google.com/spreadsheets/d/1-uDff_7J0KD5mKrp0Vvzr7lt3OU09vwQwhkpOPPYv2Y/edit?usp=sharing"",""งบพรบ!AJ26"")"),665500.78)</f>
        <v>665500.78</v>
      </c>
      <c r="O64" s="224">
        <f ca="1">IF(L64&gt;0,N64*100/L64,0)</f>
        <v>101.5101860890787</v>
      </c>
      <c r="P64" s="224">
        <f ca="1">IF(M64&gt;0,N64*100/M64,0)</f>
        <v>98.724340602284528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207400</v>
      </c>
      <c r="M65" s="224">
        <f ca="1">M66+M67</f>
        <v>206500</v>
      </c>
      <c r="N65" s="224">
        <f ca="1">N66+N67</f>
        <v>206500</v>
      </c>
      <c r="O65" s="224">
        <f ca="1">IF(L65&gt;0,N65*100/L65,0)</f>
        <v>99.56605593056895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IFERROR(__xludf.DUMMYFUNCTION("IMPORTRANGE(""https://docs.google.com/spreadsheets/d/1-uDff_7J0KD5mKrp0Vvzr7lt3OU09vwQwhkpOPPYv2Y/edit?usp=sharing"",""งบพรบ!AF26"")"),207400)</f>
        <v>207400</v>
      </c>
      <c r="M67" s="508">
        <f ca="1">IFERROR(__xludf.DUMMYFUNCTION("IMPORTRANGE(""https://docs.google.com/spreadsheets/d/1-uDff_7J0KD5mKrp0Vvzr7lt3OU09vwQwhkpOPPYv2Y/edit?usp=sharing"",""งบพรบ!AI26"")"),206500)</f>
        <v>206500</v>
      </c>
      <c r="N67" s="508">
        <f ca="1">IFERROR(__xludf.DUMMYFUNCTION("IMPORTRANGE(""https://docs.google.com/spreadsheets/d/1-uDff_7J0KD5mKrp0Vvzr7lt3OU09vwQwhkpOPPYv2Y/edit?usp=sharing"",""งบพรบ!AK26"")"),206500)</f>
        <v>206500</v>
      </c>
      <c r="O67" s="508">
        <f ca="1">IF(L67&gt;0,N67*100/L67,0)</f>
        <v>99.56605593056895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177</v>
      </c>
      <c r="J71" s="756">
        <f>J83</f>
        <v>177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254000</v>
      </c>
      <c r="M72" s="547">
        <f ca="1">M73+M74</f>
        <v>254000</v>
      </c>
      <c r="N72" s="547">
        <f ca="1">N73+N74</f>
        <v>228000</v>
      </c>
      <c r="O72" s="547">
        <f ca="1">IF(L72&gt;0,N72*100/L72,0)</f>
        <v>89.763779527559052</v>
      </c>
      <c r="P72" s="547">
        <f ca="1">IF(M72&gt;0,N72*100/M72,0)</f>
        <v>89.763779527559052</v>
      </c>
      <c r="Q72" s="547">
        <f ca="1">Q73+Q74</f>
        <v>1552240</v>
      </c>
      <c r="R72" s="547">
        <f ca="1">R73+R74</f>
        <v>1552240</v>
      </c>
      <c r="S72" s="547">
        <f ca="1">S73+S74</f>
        <v>426806</v>
      </c>
      <c r="T72" s="547">
        <f ca="1">IF(Q72&gt;0,S72*100/Q72,0)</f>
        <v>27.496134618357985</v>
      </c>
      <c r="U72" s="547">
        <f ca="1">IF(R72&gt;0,S72*100/R72,0)</f>
        <v>27.496134618357985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254000</v>
      </c>
      <c r="M74" s="224">
        <f ca="1">M77+M80</f>
        <v>254000</v>
      </c>
      <c r="N74" s="224">
        <f ca="1">N77+N80</f>
        <v>228000</v>
      </c>
      <c r="O74" s="224">
        <f ca="1">IF(L74&gt;0,N74*100/L74,0)</f>
        <v>89.763779527559052</v>
      </c>
      <c r="P74" s="224">
        <f ca="1">IF(M74&gt;0,N74*100/M74,0)</f>
        <v>89.763779527559052</v>
      </c>
      <c r="Q74" s="224">
        <f ca="1">Q77+Q80</f>
        <v>1552240</v>
      </c>
      <c r="R74" s="224">
        <f ca="1">R77+R80</f>
        <v>1552240</v>
      </c>
      <c r="S74" s="224">
        <f ca="1">S77+S80</f>
        <v>426806</v>
      </c>
      <c r="T74" s="224">
        <f ca="1">IF(Q74&gt;0,S74*100/Q74,0)</f>
        <v>27.496134618357985</v>
      </c>
      <c r="U74" s="224">
        <f ca="1">IF(R74&gt;0,S74*100/R74,0)</f>
        <v>27.496134618357985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254000</v>
      </c>
      <c r="M75" s="224">
        <f ca="1">M76+M77</f>
        <v>254000</v>
      </c>
      <c r="N75" s="224">
        <f ca="1">N76+N77</f>
        <v>228000</v>
      </c>
      <c r="O75" s="224">
        <f ca="1">IF(L75&gt;0,N75*100/L75,0)</f>
        <v>89.763779527559052</v>
      </c>
      <c r="P75" s="224">
        <f ca="1">IF(M75&gt;0,N75*100/M75,0)</f>
        <v>89.763779527559052</v>
      </c>
      <c r="Q75" s="224">
        <f ca="1">Q76+Q77</f>
        <v>1552240</v>
      </c>
      <c r="R75" s="224">
        <f ca="1">R76+R77</f>
        <v>1552240</v>
      </c>
      <c r="S75" s="224">
        <f ca="1">S76+S77</f>
        <v>426806</v>
      </c>
      <c r="T75" s="224">
        <f ca="1">IF(Q75&gt;0,S75*100/Q75,0)</f>
        <v>27.496134618357985</v>
      </c>
      <c r="U75" s="224">
        <f ca="1">IF(R75&gt;0,S75*100/R75,0)</f>
        <v>27.496134618357985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IFERROR(__xludf.DUMMYFUNCTION("IMPORTRANGE(""https://docs.google.com/spreadsheets/d/1-uDff_7J0KD5mKrp0Vvzr7lt3OU09vwQwhkpOPPYv2Y/edit?usp=sharing"",""งบพรบ!AM26"")"),254000)</f>
        <v>254000</v>
      </c>
      <c r="M77" s="224">
        <f ca="1">IFERROR(__xludf.DUMMYFUNCTION("IMPORTRANGE(""https://docs.google.com/spreadsheets/d/1-uDff_7J0KD5mKrp0Vvzr7lt3OU09vwQwhkpOPPYv2Y/edit?usp=sharing"",""งบพรบ!AR26"")"),254000)</f>
        <v>254000</v>
      </c>
      <c r="N77" s="224">
        <f ca="1">IFERROR(__xludf.DUMMYFUNCTION("IMPORTRANGE(""https://docs.google.com/spreadsheets/d/1-uDff_7J0KD5mKrp0Vvzr7lt3OU09vwQwhkpOPPYv2Y/edit?usp=sharing"",""งบพรบ!AT26"")"),228000)</f>
        <v>228000</v>
      </c>
      <c r="O77" s="224">
        <f ca="1">IF(L77&gt;0,N77*100/L77,0)</f>
        <v>89.763779527559052</v>
      </c>
      <c r="P77" s="224">
        <f ca="1">IF(M77&gt;0,N77*100/M77,0)</f>
        <v>89.763779527559052</v>
      </c>
      <c r="Q77" s="224">
        <f ca="1">IFERROR(__xludf.DUMMYFUNCTION("IMPORTRANGE(""https://docs.google.com/spreadsheets/d/1ItG2mGa2ceCfYo0BwxsXqNm01IGEUdYcSSLTEv9YCik/edit?usp=sharing"",""เบิกจ่ายกองทุน!BH26"")"),1552240)</f>
        <v>1552240</v>
      </c>
      <c r="R77" s="224">
        <f ca="1">IFERROR(__xludf.DUMMYFUNCTION("IMPORTRANGE(""https://docs.google.com/spreadsheets/d/1ItG2mGa2ceCfYo0BwxsXqNm01IGEUdYcSSLTEv9YCik/edit?usp=sharing"",""เบิกจ่ายกองทุน!BI26"")"),1552240)</f>
        <v>1552240</v>
      </c>
      <c r="S77" s="224">
        <f ca="1">IFERROR(__xludf.DUMMYFUNCTION("IMPORTRANGE(""https://docs.google.com/spreadsheets/d/1ItG2mGa2ceCfYo0BwxsXqNm01IGEUdYcSSLTEv9YCik/edit?usp=sharing"",""เบิกจ่ายกองทุน!BJ26"")"),426806)</f>
        <v>426806</v>
      </c>
      <c r="T77" s="224">
        <f ca="1">IF(Q77&gt;0,S77*100/Q77,0)</f>
        <v>27.496134618357985</v>
      </c>
      <c r="U77" s="224">
        <f ca="1">IF(R77&gt;0,S77*100/R77,0)</f>
        <v>27.496134618357985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IFERROR(__xludf.DUMMYFUNCTION("IMPORTRANGE(""https://docs.google.com/spreadsheets/d/1-uDff_7J0KD5mKrp0Vvzr7lt3OU09vwQwhkpOPPYv2Y/edit?usp=sharing"",""งบพรบ!AP26"")"),0)</f>
        <v>0</v>
      </c>
      <c r="M80" s="224">
        <f ca="1">IFERROR(__xludf.DUMMYFUNCTION("IMPORTRANGE(""https://docs.google.com/spreadsheets/d/1-uDff_7J0KD5mKrp0Vvzr7lt3OU09vwQwhkpOPPYv2Y/edit?usp=sharing"",""งบพรบ!AS26"")"),0)</f>
        <v>0</v>
      </c>
      <c r="N80" s="224">
        <f ca="1">IFERROR(__xludf.DUMMYFUNCTION("IMPORTRANGE(""https://docs.google.com/spreadsheets/d/1-uDff_7J0KD5mKrp0Vvzr7lt3OU09vwQwhkpOPPYv2Y/edit?usp=sharing"",""งบพรบ!AU26"")"),0)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IFERROR(__xludf.DUMMYFUNCTION("IMPORTRANGE(""https://docs.google.com/spreadsheets/d/1ItG2mGa2ceCfYo0BwxsXqNm01IGEUdYcSSLTEv9YCik/edit?usp=sharing"",""เบิกจ่ายกองทุน!BK26"")"),0)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IFERROR(__xludf.DUMMYFUNCTION("IMPORTRANGE(""https://docs.google.com/spreadsheets/d/1ItG2mGa2ceCfYo0BwxsXqNm01IGEUdYcSSLTEv9YCik/edit?usp=sharing"",""เบิกจ่ายกองทุน!BL26"")"),0)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IFERROR(__xludf.DUMMYFUNCTION("IMPORTRANGE(""https://docs.google.com/spreadsheets/d/1ItG2mGa2ceCfYo0BwxsXqNm01IGEUdYcSSLTEv9YCik/edit?usp=sharing"",""เบิกจ่ายกองทุน!BM26"")"),0)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177</v>
      </c>
      <c r="J83" s="338">
        <f>J85+J87+J89</f>
        <v>177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IFERROR(__xludf.DUMMYFUNCTION("IMPORTRANGE(""https://docs.google.com/spreadsheets/d/1eHaY18a8A9IcSdp1K8H6x8fbOy06t2VsZHhMHf-1x7Y/edit?usp=sharing"",""แผน!H26"")"),2)</f>
        <v>2</v>
      </c>
      <c r="J84" s="380">
        <v>2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IFERROR(__xludf.DUMMYFUNCTION("IMPORTRANGE(""https://docs.google.com/spreadsheets/d/1eHaY18a8A9IcSdp1K8H6x8fbOy06t2VsZHhMHf-1x7Y/edit?usp=sharing"",""แผน!I26"")"),177)</f>
        <v>177</v>
      </c>
      <c r="J85" s="380">
        <v>177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IFERROR(__xludf.DUMMYFUNCTION("IMPORTRANGE(""https://docs.google.com/spreadsheets/d/1eHaY18a8A9IcSdp1K8H6x8fbOy06t2VsZHhMHf-1x7Y/edit?usp=sharing"",""แผน!F26"")"),0)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IFERROR(__xludf.DUMMYFUNCTION("IMPORTRANGE(""https://docs.google.com/spreadsheets/d/1eHaY18a8A9IcSdp1K8H6x8fbOy06t2VsZHhMHf-1x7Y/edit?usp=sharing"",""แผน!G26"")"),0)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IFERROR(__xludf.DUMMYFUNCTION("IMPORTRANGE(""https://docs.google.com/spreadsheets/d/1eHaY18a8A9IcSdp1K8H6x8fbOy06t2VsZHhMHf-1x7Y/edit?usp=sharing"",""แผน!D26"")"),0)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IFERROR(__xludf.DUMMYFUNCTION("IMPORTRANGE(""https://docs.google.com/spreadsheets/d/1eHaY18a8A9IcSdp1K8H6x8fbOy06t2VsZHhMHf-1x7Y/edit?usp=sharing"",""แผน!E26"")"),0)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IFERROR(__xludf.DUMMYFUNCTION("IMPORTRANGE(""https://docs.google.com/spreadsheets/d/1eHaY18a8A9IcSdp1K8H6x8fbOy06t2VsZHhMHf-1x7Y/edit?usp=sharing"",""แผน!J26"")"),2)</f>
        <v>2</v>
      </c>
      <c r="J90" s="380">
        <v>2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6000</v>
      </c>
      <c r="M94" s="547">
        <f ca="1">M95+M96</f>
        <v>6000</v>
      </c>
      <c r="N94" s="547">
        <f ca="1">N95+N96</f>
        <v>6000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84420</v>
      </c>
      <c r="R94" s="547">
        <f ca="1">R95+R96</f>
        <v>84420</v>
      </c>
      <c r="S94" s="547">
        <f ca="1">S95+S96</f>
        <v>68650</v>
      </c>
      <c r="T94" s="547">
        <f ca="1">IF(Q94&gt;0,S94*100/Q94,0)</f>
        <v>81.319592513622368</v>
      </c>
      <c r="U94" s="547">
        <f ca="1">IF(R94&gt;0,S94*100/R94,0)</f>
        <v>81.319592513622368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6000</v>
      </c>
      <c r="M96" s="224">
        <f ca="1">M99+M102</f>
        <v>6000</v>
      </c>
      <c r="N96" s="224">
        <f ca="1">N99+N102</f>
        <v>6000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84420</v>
      </c>
      <c r="R96" s="224">
        <f ca="1">R99+R102</f>
        <v>84420</v>
      </c>
      <c r="S96" s="224">
        <f ca="1">S99+S102</f>
        <v>68650</v>
      </c>
      <c r="T96" s="224">
        <f ca="1">IF(Q96&gt;0,S96*100/Q96,0)</f>
        <v>81.319592513622368</v>
      </c>
      <c r="U96" s="224">
        <f ca="1">IF(R96&gt;0,S96*100/R96,0)</f>
        <v>81.319592513622368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6000</v>
      </c>
      <c r="M97" s="224">
        <f ca="1">M98+M99</f>
        <v>6000</v>
      </c>
      <c r="N97" s="224">
        <f ca="1">N98+N99</f>
        <v>6000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84420</v>
      </c>
      <c r="R97" s="224">
        <f ca="1">R98+R99</f>
        <v>84420</v>
      </c>
      <c r="S97" s="224">
        <f ca="1">S98+S99</f>
        <v>68650</v>
      </c>
      <c r="T97" s="224">
        <f ca="1">IF(Q97&gt;0,S97*100/Q97,0)</f>
        <v>81.319592513622368</v>
      </c>
      <c r="U97" s="224">
        <f ca="1">IF(R97&gt;0,S97*100/R97,0)</f>
        <v>81.319592513622368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IFERROR(__xludf.DUMMYFUNCTION("IMPORTRANGE(""https://docs.google.com/spreadsheets/d/1-uDff_7J0KD5mKrp0Vvzr7lt3OU09vwQwhkpOPPYv2Y/edit?usp=sharing"",""งบพรบ!AW26"")"),6000)</f>
        <v>6000</v>
      </c>
      <c r="M99" s="224">
        <f ca="1">IFERROR(__xludf.DUMMYFUNCTION("IMPORTRANGE(""https://docs.google.com/spreadsheets/d/1-uDff_7J0KD5mKrp0Vvzr7lt3OU09vwQwhkpOPPYv2Y/edit?usp=sharing"",""งบพรบ!BB26"")"),6000)</f>
        <v>6000</v>
      </c>
      <c r="N99" s="224">
        <f ca="1">IFERROR(__xludf.DUMMYFUNCTION("IMPORTRANGE(""https://docs.google.com/spreadsheets/d/1-uDff_7J0KD5mKrp0Vvzr7lt3OU09vwQwhkpOPPYv2Y/edit?usp=sharing"",""งบพรบ!BD26"")"),6000)</f>
        <v>6000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IFERROR(__xludf.DUMMYFUNCTION("IMPORTRANGE(""https://docs.google.com/spreadsheets/d/1ItG2mGa2ceCfYo0BwxsXqNm01IGEUdYcSSLTEv9YCik/edit?usp=sharing"",""เบิกจ่ายกองทุน!AJ26"")"),84420)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IFERROR(__xludf.DUMMYFUNCTION("IMPORTRANGE(""https://docs.google.com/spreadsheets/d/1ItG2mGa2ceCfYo0BwxsXqNm01IGEUdYcSSLTEv9YCik/edit?usp=sharing"",""เบิกจ่ายกองทุน!AK26"")"),84420)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IFERROR(__xludf.DUMMYFUNCTION("IMPORTRANGE(""https://docs.google.com/spreadsheets/d/1ItG2mGa2ceCfYo0BwxsXqNm01IGEUdYcSSLTEv9YCik/edit?usp=sharing"",""เบิกจ่ายกองทุน!AL26"")"),68650)</f>
        <v>68650</v>
      </c>
      <c r="T99" s="224">
        <f ca="1">IF(Q99&gt;0,S99*100/Q99,0)</f>
        <v>81.319592513622368</v>
      </c>
      <c r="U99" s="224">
        <f ca="1">IF(R99&gt;0,S99*100/R99,0)</f>
        <v>81.319592513622368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IFERROR(__xludf.DUMMYFUNCTION("IMPORTRANGE(""https://docs.google.com/spreadsheets/d/1-uDff_7J0KD5mKrp0Vvzr7lt3OU09vwQwhkpOPPYv2Y/edit?usp=sharing"",""งบพรบ!AZ26"")"),0)</f>
        <v>0</v>
      </c>
      <c r="M102" s="224">
        <f ca="1">IFERROR(__xludf.DUMMYFUNCTION("IMPORTRANGE(""https://docs.google.com/spreadsheets/d/1-uDff_7J0KD5mKrp0Vvzr7lt3OU09vwQwhkpOPPYv2Y/edit?usp=sharing"",""งบพรบ!BC26"")"),0)</f>
        <v>0</v>
      </c>
      <c r="N102" s="224">
        <f ca="1">IFERROR(__xludf.DUMMYFUNCTION("IMPORTRANGE(""https://docs.google.com/spreadsheets/d/1-uDff_7J0KD5mKrp0Vvzr7lt3OU09vwQwhkpOPPYv2Y/edit?usp=sharing"",""งบพรบ!BE26"")"),0)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IFERROR(__xludf.DUMMYFUNCTION("IMPORTRANGE(""https://docs.google.com/spreadsheets/d/1eHaY18a8A9IcSdp1K8H6x8fbOy06t2VsZHhMHf-1x7Y/edit?usp=sharing"",""แผน!N26"")"),30)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IFERROR(__xludf.DUMMYFUNCTION("IMPORTRANGE(""https://docs.google.com/spreadsheets/d/1eHaY18a8A9IcSdp1K8H6x8fbOy06t2VsZHhMHf-1x7Y/edit?usp=sharing"",""แผน!O26"")"),10)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IFERROR(__xludf.DUMMYFUNCTION("IMPORTRANGE(""https://docs.google.com/spreadsheets/d/1eHaY18a8A9IcSdp1K8H6x8fbOy06t2VsZHhMHf-1x7Y/edit?usp=sharing"",""แผน!N26"")"),30)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IFERROR(__xludf.DUMMYFUNCTION("IMPORTRANGE(""https://docs.google.com/spreadsheets/d/1eHaY18a8A9IcSdp1K8H6x8fbOy06t2VsZHhMHf-1x7Y/edit?usp=sharing"",""แผน!O26"")"),10)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284520</v>
      </c>
      <c r="R117" s="547">
        <f ca="1">R118+R119</f>
        <v>284520</v>
      </c>
      <c r="S117" s="547">
        <f ca="1">S118+S119</f>
        <v>240380</v>
      </c>
      <c r="T117" s="547">
        <f ca="1">IF(Q117&gt;0,S117*100/Q117,0)</f>
        <v>84.486152115844234</v>
      </c>
      <c r="U117" s="547">
        <f ca="1">IF(R117&gt;0,S117*100/R117,0)</f>
        <v>84.486152115844234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240380</v>
      </c>
      <c r="T119" s="224">
        <f ca="1">IF(Q119&gt;0,S119*100/Q119,0)</f>
        <v>84.486152115844234</v>
      </c>
      <c r="U119" s="224">
        <f ca="1">IF(R119&gt;0,S119*100/R119,0)</f>
        <v>84.486152115844234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240380</v>
      </c>
      <c r="T120" s="224">
        <f ca="1">IF(Q120&gt;0,S120*100/Q120,0)</f>
        <v>84.486152115844234</v>
      </c>
      <c r="U120" s="224">
        <f ca="1">IF(R120&gt;0,S120*100/R120,0)</f>
        <v>84.486152115844234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IFERROR(__xludf.DUMMYFUNCTION("IMPORTRANGE(""https://docs.google.com/spreadsheets/d/1-uDff_7J0KD5mKrp0Vvzr7lt3OU09vwQwhkpOPPYv2Y/edit?usp=sharing"",""งบพรบ!BG26"")"),0)</f>
        <v>0</v>
      </c>
      <c r="M122" s="224">
        <f ca="1">IFERROR(__xludf.DUMMYFUNCTION("IMPORTRANGE(""https://docs.google.com/spreadsheets/d/1-uDff_7J0KD5mKrp0Vvzr7lt3OU09vwQwhkpOPPYv2Y/edit?usp=sharing"",""งบพรบ!BL26"")"),0)</f>
        <v>0</v>
      </c>
      <c r="N122" s="224">
        <f ca="1">IFERROR(__xludf.DUMMYFUNCTION("IMPORTRANGE(""https://docs.google.com/spreadsheets/d/1-uDff_7J0KD5mKrp0Vvzr7lt3OU09vwQwhkpOPPYv2Y/edit?usp=sharing"",""งบพรบ!BN26"")"),0)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IFERROR(__xludf.DUMMYFUNCTION("IMPORTRANGE(""https://docs.google.com/spreadsheets/d/1ItG2mGa2ceCfYo0BwxsXqNm01IGEUdYcSSLTEv9YCik/edit?usp=sharing"",""เบิกจ่ายกองทุน!U26"")"),284520)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IFERROR(__xludf.DUMMYFUNCTION("IMPORTRANGE(""https://docs.google.com/spreadsheets/d/1ItG2mGa2ceCfYo0BwxsXqNm01IGEUdYcSSLTEv9YCik/edit?usp=sharing"",""เบิกจ่ายกองทุน!V26"")"),284520)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IFERROR(__xludf.DUMMYFUNCTION("IMPORTRANGE(""https://docs.google.com/spreadsheets/d/1ItG2mGa2ceCfYo0BwxsXqNm01IGEUdYcSSLTEv9YCik/edit?usp=sharing"",""เบิกจ่ายกองทุน!W26"")"),240380)</f>
        <v>240380</v>
      </c>
      <c r="T122" s="224">
        <f ca="1">IF(Q122&gt;0,S122*100/Q122,0)</f>
        <v>84.486152115844234</v>
      </c>
      <c r="U122" s="224">
        <f ca="1">IF(R122&gt;0,S122*100/R122,0)</f>
        <v>84.486152115844234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IFERROR(__xludf.DUMMYFUNCTION("IMPORTRANGE(""https://docs.google.com/spreadsheets/d/1-uDff_7J0KD5mKrp0Vvzr7lt3OU09vwQwhkpOPPYv2Y/edit?usp=sharing"",""งบพรบ!BJ26"")"),0)</f>
        <v>0</v>
      </c>
      <c r="M125" s="224">
        <f ca="1">IFERROR(__xludf.DUMMYFUNCTION("IMPORTRANGE(""https://docs.google.com/spreadsheets/d/1-uDff_7J0KD5mKrp0Vvzr7lt3OU09vwQwhkpOPPYv2Y/edit?usp=sharing"",""งบพรบ!BM26"")"),0)</f>
        <v>0</v>
      </c>
      <c r="N125" s="224">
        <f ca="1">IFERROR(__xludf.DUMMYFUNCTION("IMPORTRANGE(""https://docs.google.com/spreadsheets/d/1-uDff_7J0KD5mKrp0Vvzr7lt3OU09vwQwhkpOPPYv2Y/edit?usp=sharing"",""งบพรบ!BO26"")"),0)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IFERROR(__xludf.DUMMYFUNCTION("IMPORTRANGE(""https://docs.google.com/spreadsheets/d/1ItG2mGa2ceCfYo0BwxsXqNm01IGEUdYcSSLTEv9YCik/edit?usp=sharing"",""เบิกจ่ายกองทุน!X26"")"),0)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IFERROR(__xludf.DUMMYFUNCTION("IMPORTRANGE(""https://docs.google.com/spreadsheets/d/1ItG2mGa2ceCfYo0BwxsXqNm01IGEUdYcSSLTEv9YCik/edit?usp=sharing"",""เบิกจ่ายกองทุน!Y26"")"),0)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IFERROR(__xludf.DUMMYFUNCTION("IMPORTRANGE(""https://docs.google.com/spreadsheets/d/1ItG2mGa2ceCfYo0BwxsXqNm01IGEUdYcSSLTEv9YCik/edit?usp=sharing"",""เบิกจ่ายกองทุน!Z26"")"),0)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IFERROR(__xludf.DUMMYFUNCTION("IMPORTRANGE(""https://docs.google.com/spreadsheets/d/1eHaY18a8A9IcSdp1K8H6x8fbOy06t2VsZHhMHf-1x7Y/edit?usp=sharing"",""แผน!FF26"")"),50)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IFERROR(__xludf.DUMMYFUNCTION("IMPORTRANGE(""https://docs.google.com/spreadsheets/d/1eHaY18a8A9IcSdp1K8H6x8fbOy06t2VsZHhMHf-1x7Y/edit?usp=sharing"",""แผน!FG26"")"),2)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IFERROR(__xludf.DUMMYFUNCTION("IMPORTRANGE(""https://docs.google.com/spreadsheets/d/1eHaY18a8A9IcSdp1K8H6x8fbOy06t2VsZHhMHf-1x7Y/edit?usp=sharing"",""แผน!FH26"")"),20)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IFERROR(__xludf.DUMMYFUNCTION("IMPORTRANGE(""https://docs.google.com/spreadsheets/d/1eHaY18a8A9IcSdp1K8H6x8fbOy06t2VsZHhMHf-1x7Y/edit?usp=sharing"",""แผน!FI26"")"),1)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3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164700</v>
      </c>
      <c r="M139" s="547">
        <f ca="1">M140+M141</f>
        <v>159700</v>
      </c>
      <c r="N139" s="547">
        <f ca="1">N140+N141</f>
        <v>158039.07999999999</v>
      </c>
      <c r="O139" s="547">
        <f ca="1">IF(L139&gt;0,N139*100/L139,0)</f>
        <v>95.95572556162719</v>
      </c>
      <c r="P139" s="547">
        <f ca="1">IF(M139&gt;0,N139*100/M139,0)</f>
        <v>98.959974953036934</v>
      </c>
      <c r="Q139" s="547">
        <f ca="1">Q140+Q141</f>
        <v>434860</v>
      </c>
      <c r="R139" s="547">
        <f ca="1">R140+R141</f>
        <v>434860</v>
      </c>
      <c r="S139" s="547">
        <f ca="1">S140+S141</f>
        <v>25105</v>
      </c>
      <c r="T139" s="547">
        <f ca="1">IF(Q139&gt;0,S139*100/Q139,0)</f>
        <v>5.7731223842156094</v>
      </c>
      <c r="U139" s="547">
        <f ca="1">IF(R139&gt;0,S139*100/R139,0)</f>
        <v>5.7731223842156094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164700</v>
      </c>
      <c r="M141" s="224">
        <f ca="1">M144+M147</f>
        <v>159700</v>
      </c>
      <c r="N141" s="224">
        <f ca="1">N144+N147</f>
        <v>158039.07999999999</v>
      </c>
      <c r="O141" s="224">
        <f ca="1">IF(L141&gt;0,N141*100/L141,0)</f>
        <v>95.95572556162719</v>
      </c>
      <c r="P141" s="224">
        <f ca="1">IF(M141&gt;0,N141*100/M141,0)</f>
        <v>98.959974953036934</v>
      </c>
      <c r="Q141" s="224">
        <f ca="1">Q144+Q147</f>
        <v>434860</v>
      </c>
      <c r="R141" s="224">
        <f ca="1">R144+R147</f>
        <v>434860</v>
      </c>
      <c r="S141" s="224">
        <f ca="1">S144+S147</f>
        <v>25105</v>
      </c>
      <c r="T141" s="224">
        <f ca="1">IF(Q141&gt;0,S141*100/Q141,0)</f>
        <v>5.7731223842156094</v>
      </c>
      <c r="U141" s="224">
        <f ca="1">IF(R141&gt;0,S141*100/R141,0)</f>
        <v>5.7731223842156094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164700</v>
      </c>
      <c r="M142" s="224">
        <f ca="1">M143+M144</f>
        <v>159700</v>
      </c>
      <c r="N142" s="224">
        <f ca="1">N143+N144</f>
        <v>158039.07999999999</v>
      </c>
      <c r="O142" s="224">
        <f ca="1">IF(L142&gt;0,N142*100/L142,0)</f>
        <v>95.95572556162719</v>
      </c>
      <c r="P142" s="224">
        <f ca="1">IF(M142&gt;0,N142*100/M142,0)</f>
        <v>98.959974953036934</v>
      </c>
      <c r="Q142" s="224">
        <f ca="1">Q143+Q144</f>
        <v>44860</v>
      </c>
      <c r="R142" s="224">
        <f ca="1">R143+R144</f>
        <v>44860</v>
      </c>
      <c r="S142" s="224">
        <f ca="1">S143+S144</f>
        <v>25105</v>
      </c>
      <c r="T142" s="224">
        <f ca="1">IF(Q142&gt;0,S142*100/Q142,0)</f>
        <v>55.96299598751672</v>
      </c>
      <c r="U142" s="224">
        <f ca="1">IF(R142&gt;0,S142*100/R142,0)</f>
        <v>55.96299598751672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IFERROR(__xludf.DUMMYFUNCTION("IMPORTRANGE(""https://docs.google.com/spreadsheets/d/1-uDff_7J0KD5mKrp0Vvzr7lt3OU09vwQwhkpOPPYv2Y/edit?usp=sharing"",""งบพรบ!BQ26"")"),164700)</f>
        <v>164700</v>
      </c>
      <c r="M144" s="224">
        <f ca="1">IFERROR(__xludf.DUMMYFUNCTION("IMPORTRANGE(""https://docs.google.com/spreadsheets/d/1-uDff_7J0KD5mKrp0Vvzr7lt3OU09vwQwhkpOPPYv2Y/edit?usp=sharing"",""งบพรบ!BV26"")"),159700)</f>
        <v>159700</v>
      </c>
      <c r="N144" s="224">
        <f ca="1">IFERROR(__xludf.DUMMYFUNCTION("IMPORTRANGE(""https://docs.google.com/spreadsheets/d/1-uDff_7J0KD5mKrp0Vvzr7lt3OU09vwQwhkpOPPYv2Y/edit?usp=sharing"",""งบพรบ!BX26"")"),158039.08)</f>
        <v>158039.07999999999</v>
      </c>
      <c r="O144" s="224">
        <f ca="1">IF(L144&gt;0,N144*100/L144,0)</f>
        <v>95.95572556162719</v>
      </c>
      <c r="P144" s="224">
        <f ca="1">IF(M144&gt;0,N144*100/M144,0)</f>
        <v>98.959974953036934</v>
      </c>
      <c r="Q144" s="224">
        <f ca="1">IFERROR(__xludf.DUMMYFUNCTION("IMPORTRANGE(""https://docs.google.com/spreadsheets/d/1ItG2mGa2ceCfYo0BwxsXqNm01IGEUdYcSSLTEv9YCik/edit?usp=sharing"",""เบิกจ่ายกองทุน!CF26"")"),44860)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IFERROR(__xludf.DUMMYFUNCTION("IMPORTRANGE(""https://docs.google.com/spreadsheets/d/1ItG2mGa2ceCfYo0BwxsXqNm01IGEUdYcSSLTEv9YCik/edit?usp=sharing"",""เบิกจ่ายกองทุน!CG26"")"),44860)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IFERROR(__xludf.DUMMYFUNCTION("IMPORTRANGE(""https://docs.google.com/spreadsheets/d/1ItG2mGa2ceCfYo0BwxsXqNm01IGEUdYcSSLTEv9YCik/edit?usp=sharing"",""เบิกจ่ายกองทุน!CH26"")"),25105)</f>
        <v>25105</v>
      </c>
      <c r="T144" s="224">
        <f ca="1">IF(Q144&gt;0,S144*100/Q144,0)</f>
        <v>55.96299598751672</v>
      </c>
      <c r="U144" s="224">
        <f ca="1">IF(R144&gt;0,S144*100/R144,0)</f>
        <v>55.96299598751672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390000</v>
      </c>
      <c r="R145" s="224">
        <f ca="1">R146+R147</f>
        <v>390000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IFERROR(__xludf.DUMMYFUNCTION("IMPORTRANGE(""https://docs.google.com/spreadsheets/d/1-uDff_7J0KD5mKrp0Vvzr7lt3OU09vwQwhkpOPPYv2Y/edit?usp=sharing"",""งบพรบ!BT26"")"),0)</f>
        <v>0</v>
      </c>
      <c r="M147" s="224">
        <f ca="1">IFERROR(__xludf.DUMMYFUNCTION("IMPORTRANGE(""https://docs.google.com/spreadsheets/d/1-uDff_7J0KD5mKrp0Vvzr7lt3OU09vwQwhkpOPPYv2Y/edit?usp=sharing"",""งบพรบ!BW26"")"),0)</f>
        <v>0</v>
      </c>
      <c r="N147" s="224">
        <f ca="1">IFERROR(__xludf.DUMMYFUNCTION("IMPORTRANGE(""https://docs.google.com/spreadsheets/d/1-uDff_7J0KD5mKrp0Vvzr7lt3OU09vwQwhkpOPPYv2Y/edit?usp=sharing"",""งบพรบ!BY26"")"),0)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IFERROR(__xludf.DUMMYFUNCTION("IMPORTRANGE(""https://docs.google.com/spreadsheets/d/1ItG2mGa2ceCfYo0BwxsXqNm01IGEUdYcSSLTEv9YCik/edit?usp=sharing"",""เบิกจ่ายกองทุน!CI26"")"),390000)</f>
        <v>390000</v>
      </c>
      <c r="R147" s="224">
        <f ca="1">IFERROR(__xludf.DUMMYFUNCTION("IMPORTRANGE(""https://docs.google.com/spreadsheets/d/1ItG2mGa2ceCfYo0BwxsXqNm01IGEUdYcSSLTEv9YCik/edit?usp=sharing"",""เบิกจ่ายกองทุน!CJ26"")"),390000)</f>
        <v>390000</v>
      </c>
      <c r="S147" s="224">
        <f ca="1">IFERROR(__xludf.DUMMYFUNCTION("IMPORTRANGE(""https://docs.google.com/spreadsheets/d/1ItG2mGa2ceCfYo0BwxsXqNm01IGEUdYcSSLTEv9YCik/edit?usp=sharing"",""เบิกจ่ายกองทุน!CK26"")"),0)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IFERROR(__xludf.DUMMYFUNCTION("IMPORTRANGE(""https://docs.google.com/spreadsheets/d/1eHaY18a8A9IcSdp1K8H6x8fbOy06t2VsZHhMHf-1x7Y/edit?usp=sharing"",""แผน!U26"")"),30)</f>
        <v>30</v>
      </c>
      <c r="J150" s="380">
        <v>30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IFERROR(__xludf.DUMMYFUNCTION("IMPORTRANGE(""https://docs.google.com/spreadsheets/d/1eHaY18a8A9IcSdp1K8H6x8fbOy06t2VsZHhMHf-1x7Y/edit?usp=sharing"",""แผน!V26"")"),3)</f>
        <v>3</v>
      </c>
      <c r="J151" s="380">
        <v>3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IFERROR(__xludf.DUMMYFUNCTION("IMPORTRANGE(""https://docs.google.com/spreadsheets/d/1eHaY18a8A9IcSdp1K8H6x8fbOy06t2VsZHhMHf-1x7Y/edit?usp=sharing"",""แผน!W26"")"),40)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IFERROR(__xludf.DUMMYFUNCTION("IMPORTRANGE(""https://docs.google.com/spreadsheets/d/1eHaY18a8A9IcSdp1K8H6x8fbOy06t2VsZHhMHf-1x7Y/edit?usp=sharing"",""แผน!X26"")"),4)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IFERROR(__xludf.DUMMYFUNCTION("IMPORTRANGE(""https://docs.google.com/spreadsheets/d/1eHaY18a8A9IcSdp1K8H6x8fbOy06t2VsZHhMHf-1x7Y/edit?usp=sharing"",""แผน!Y26"")"),3)</f>
        <v>3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2480</v>
      </c>
      <c r="N157" s="547">
        <f ca="1">N158+N159</f>
        <v>2480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2480</v>
      </c>
      <c r="N159" s="224">
        <f ca="1">N162+N165</f>
        <v>2480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2480</v>
      </c>
      <c r="N160" s="224">
        <f ca="1">N161+N162</f>
        <v>2480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IFERROR(__xludf.DUMMYFUNCTION("IMPORTRANGE(""https://docs.google.com/spreadsheets/d/1-uDff_7J0KD5mKrp0Vvzr7lt3OU09vwQwhkpOPPYv2Y/edit?usp=sharing"",""งบพรบ!CA26"")"),0)</f>
        <v>0</v>
      </c>
      <c r="M162" s="224">
        <f ca="1">IFERROR(__xludf.DUMMYFUNCTION("IMPORTRANGE(""https://docs.google.com/spreadsheets/d/1-uDff_7J0KD5mKrp0Vvzr7lt3OU09vwQwhkpOPPYv2Y/edit?usp=sharing"",""งบพรบ!CF26"")"),2480)</f>
        <v>2480</v>
      </c>
      <c r="N162" s="224">
        <f ca="1">IFERROR(__xludf.DUMMYFUNCTION("IMPORTRANGE(""https://docs.google.com/spreadsheets/d/1-uDff_7J0KD5mKrp0Vvzr7lt3OU09vwQwhkpOPPYv2Y/edit?usp=sharing"",""งบพรบ!CH26"")"),2480)</f>
        <v>2480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IFERROR(__xludf.DUMMYFUNCTION("IMPORTRANGE(""https://docs.google.com/spreadsheets/d/1ItG2mGa2ceCfYo0BwxsXqNm01IGEUdYcSSLTEv9YCik/edit?usp=sharing"",""เบิกจ่ายกองทุน!AO26"")"),0)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IFERROR(__xludf.DUMMYFUNCTION("IMPORTRANGE(""https://docs.google.com/spreadsheets/d/1-uDff_7J0KD5mKrp0Vvzr7lt3OU09vwQwhkpOPPYv2Y/edit?usp=sharing"",""งบพรบ!CD26"")"),0)</f>
        <v>0</v>
      </c>
      <c r="M165" s="224">
        <f ca="1">IFERROR(__xludf.DUMMYFUNCTION("IMPORTRANGE(""https://docs.google.com/spreadsheets/d/1-uDff_7J0KD5mKrp0Vvzr7lt3OU09vwQwhkpOPPYv2Y/edit?usp=sharing"",""งบพรบ!CG26"")"),0)</f>
        <v>0</v>
      </c>
      <c r="N165" s="224">
        <f ca="1">IFERROR(__xludf.DUMMYFUNCTION("IMPORTRANGE(""https://docs.google.com/spreadsheets/d/1-uDff_7J0KD5mKrp0Vvzr7lt3OU09vwQwhkpOPPYv2Y/edit?usp=sharing"",""งบพรบ!CI26"")"),0)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IFERROR(__xludf.DUMMYFUNCTION("IMPORTRANGE(""https://docs.google.com/spreadsheets/d/1eHaY18a8A9IcSdp1K8H6x8fbOy06t2VsZHhMHf-1x7Y/edit?usp=sharing"",""แผน!Z26"")"),0)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IFERROR(__xludf.DUMMYFUNCTION("IMPORTRANGE(""https://docs.google.com/spreadsheets/d/1eHaY18a8A9IcSdp1K8H6x8fbOy06t2VsZHhMHf-1x7Y/edit?usp=sharing"",""แผน!Z26"")"),0)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IFERROR(__xludf.DUMMYFUNCTION("IMPORTRANGE(""https://docs.google.com/spreadsheets/d/1eHaY18a8A9IcSdp1K8H6x8fbOy06t2VsZHhMHf-1x7Y/edit?usp=sharing"",""แผน!Z26"")"),0)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142570</v>
      </c>
      <c r="N173" s="547">
        <f ca="1">N174+N175</f>
        <v>139886</v>
      </c>
      <c r="O173" s="547">
        <f ca="1">IF(L173&gt;0,N173*100/L173,0)</f>
        <v>714.06840224604389</v>
      </c>
      <c r="P173" s="547">
        <f ca="1">IF(M173&gt;0,N173*100/M173,0)</f>
        <v>98.117416006172405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142570</v>
      </c>
      <c r="N175" s="224">
        <f ca="1">N178+N181</f>
        <v>139886</v>
      </c>
      <c r="O175" s="224">
        <f ca="1">IF(L175&gt;0,N175*100/L175,0)</f>
        <v>714.06840224604389</v>
      </c>
      <c r="P175" s="224">
        <f ca="1">IF(M175&gt;0,N175*100/M175,0)</f>
        <v>98.117416006172405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142570</v>
      </c>
      <c r="N176" s="224">
        <f ca="1">N177+N178</f>
        <v>139886</v>
      </c>
      <c r="O176" s="224">
        <f ca="1">IF(L176&gt;0,N176*100/L176,0)</f>
        <v>714.06840224604389</v>
      </c>
      <c r="P176" s="224">
        <f ca="1">IF(M176&gt;0,N176*100/M176,0)</f>
        <v>98.117416006172405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IFERROR(__xludf.DUMMYFUNCTION("IMPORTRANGE(""https://docs.google.com/spreadsheets/d/1-uDff_7J0KD5mKrp0Vvzr7lt3OU09vwQwhkpOPPYv2Y/edit?usp=sharing"",""งบพรบ!CK26"")"),19590)</f>
        <v>19590</v>
      </c>
      <c r="M178" s="224">
        <f ca="1">IFERROR(__xludf.DUMMYFUNCTION("IMPORTRANGE(""https://docs.google.com/spreadsheets/d/1-uDff_7J0KD5mKrp0Vvzr7lt3OU09vwQwhkpOPPYv2Y/edit?usp=sharing"",""งบพรบ!CP26"")"),142570)</f>
        <v>142570</v>
      </c>
      <c r="N178" s="224">
        <f ca="1">IFERROR(__xludf.DUMMYFUNCTION("IMPORTRANGE(""https://docs.google.com/spreadsheets/d/1-uDff_7J0KD5mKrp0Vvzr7lt3OU09vwQwhkpOPPYv2Y/edit?usp=sharing"",""งบพรบ!CR26"")"),139886)</f>
        <v>139886</v>
      </c>
      <c r="O178" s="224">
        <f ca="1">IF(L178&gt;0,N178*100/L178,0)</f>
        <v>714.06840224604389</v>
      </c>
      <c r="P178" s="224">
        <f ca="1">IF(M178&gt;0,N178*100/M178,0)</f>
        <v>98.117416006172405</v>
      </c>
      <c r="Q178" s="224">
        <f ca="1">IFERROR(__xludf.DUMMYFUNCTION("IMPORTRANGE(""https://docs.google.com/spreadsheets/d/1ItG2mGa2ceCfYo0BwxsXqNm01IGEUdYcSSLTEv9YCik/edit?usp=sharing"",""เบิกจ่ายกองทุน!DG26"")"),22960)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IFERROR(__xludf.DUMMYFUNCTION("IMPORTRANGE(""https://docs.google.com/spreadsheets/d/1ItG2mGa2ceCfYo0BwxsXqNm01IGEUdYcSSLTEv9YCik/edit?usp=sharing"",""เบิกจ่ายกองทุน!DH26"")"),22960)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IFERROR(__xludf.DUMMYFUNCTION("IMPORTRANGE(""https://docs.google.com/spreadsheets/d/1ItG2mGa2ceCfYo0BwxsXqNm01IGEUdYcSSLTEv9YCik/edit?usp=sharing"",""เบิกจ่ายกองทุน!DI26"")"),22960)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IFERROR(__xludf.DUMMYFUNCTION("IMPORTRANGE(""https://docs.google.com/spreadsheets/d/1-uDff_7J0KD5mKrp0Vvzr7lt3OU09vwQwhkpOPPYv2Y/edit?usp=sharing"",""งบพรบ!CN26"")"),0)</f>
        <v>0</v>
      </c>
      <c r="M181" s="224">
        <f ca="1">IFERROR(__xludf.DUMMYFUNCTION("IMPORTRANGE(""https://docs.google.com/spreadsheets/d/1-uDff_7J0KD5mKrp0Vvzr7lt3OU09vwQwhkpOPPYv2Y/edit?usp=sharing"",""งบพรบ!CQ26"")"),0)</f>
        <v>0</v>
      </c>
      <c r="N181" s="224">
        <f ca="1">IFERROR(__xludf.DUMMYFUNCTION("IMPORTRANGE(""https://docs.google.com/spreadsheets/d/1-uDff_7J0KD5mKrp0Vvzr7lt3OU09vwQwhkpOPPYv2Y/edit?usp=sharing"",""งบพรบ!CS26"")"),0)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IFERROR(__xludf.DUMMYFUNCTION("IMPORTRANGE(""https://docs.google.com/spreadsheets/d/1eHaY18a8A9IcSdp1K8H6x8fbOy06t2VsZHhMHf-1x7Y/edit?usp=sharing"",""แผน!AA26"")"),17)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118500</v>
      </c>
      <c r="M186" s="547">
        <f ca="1">M187+M188</f>
        <v>120500</v>
      </c>
      <c r="N186" s="547">
        <f ca="1">N187+N188</f>
        <v>118180.01</v>
      </c>
      <c r="O186" s="547">
        <f ca="1">IF(L186&gt;0,N186*100/L186,0)</f>
        <v>99.729966244725745</v>
      </c>
      <c r="P186" s="547">
        <f ca="1">IF(M186&gt;0,N186*100/M186,0)</f>
        <v>98.074697095435681</v>
      </c>
      <c r="Q186" s="547">
        <f ca="1">Q187+Q188</f>
        <v>28000</v>
      </c>
      <c r="R186" s="547">
        <f ca="1">R187+R188</f>
        <v>28000</v>
      </c>
      <c r="S186" s="547">
        <f ca="1">S187+S188</f>
        <v>28000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118500</v>
      </c>
      <c r="M188" s="224">
        <f ca="1">M191+M194</f>
        <v>120500</v>
      </c>
      <c r="N188" s="224">
        <f ca="1">N191+N194</f>
        <v>118180.01</v>
      </c>
      <c r="O188" s="224">
        <f ca="1">IF(L188&gt;0,N188*100/L188,0)</f>
        <v>99.729966244725745</v>
      </c>
      <c r="P188" s="224">
        <f ca="1">IF(M188&gt;0,N188*100/M188,0)</f>
        <v>98.074697095435681</v>
      </c>
      <c r="Q188" s="224">
        <f ca="1">Q191+Q194</f>
        <v>28000</v>
      </c>
      <c r="R188" s="224">
        <f ca="1">R191+R194</f>
        <v>28000</v>
      </c>
      <c r="S188" s="224">
        <f ca="1">S191+S194</f>
        <v>28000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118500</v>
      </c>
      <c r="M189" s="224">
        <f ca="1">M190+M191</f>
        <v>120500</v>
      </c>
      <c r="N189" s="224">
        <f ca="1">N190+N191</f>
        <v>118180.01</v>
      </c>
      <c r="O189" s="224">
        <f ca="1">IF(L189&gt;0,N189*100/L189,0)</f>
        <v>99.729966244725745</v>
      </c>
      <c r="P189" s="224">
        <f ca="1">IF(M189&gt;0,N189*100/M189,0)</f>
        <v>98.074697095435681</v>
      </c>
      <c r="Q189" s="224">
        <f ca="1">Q190+Q191</f>
        <v>28000</v>
      </c>
      <c r="R189" s="224">
        <f ca="1">R190+R191</f>
        <v>28000</v>
      </c>
      <c r="S189" s="224">
        <f ca="1">S190+S191</f>
        <v>28000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IFERROR(__xludf.DUMMYFUNCTION("IMPORTRANGE(""https://docs.google.com/spreadsheets/d/1-uDff_7J0KD5mKrp0Vvzr7lt3OU09vwQwhkpOPPYv2Y/edit?usp=sharing"",""งบพรบ!CU26"")"),118500)</f>
        <v>118500</v>
      </c>
      <c r="M191" s="224">
        <f ca="1">IFERROR(__xludf.DUMMYFUNCTION("IMPORTRANGE(""https://docs.google.com/spreadsheets/d/1-uDff_7J0KD5mKrp0Vvzr7lt3OU09vwQwhkpOPPYv2Y/edit?usp=sharing"",""งบพรบ!CZ26"")"),120500)</f>
        <v>120500</v>
      </c>
      <c r="N191" s="224">
        <f ca="1">IFERROR(__xludf.DUMMYFUNCTION("IMPORTRANGE(""https://docs.google.com/spreadsheets/d/1-uDff_7J0KD5mKrp0Vvzr7lt3OU09vwQwhkpOPPYv2Y/edit?usp=sharing"",""งบพรบ!DB26"")"),118180.01)</f>
        <v>118180.01</v>
      </c>
      <c r="O191" s="224">
        <f ca="1">IF(L191&gt;0,N191*100/L191,0)</f>
        <v>99.729966244725745</v>
      </c>
      <c r="P191" s="224">
        <f ca="1">IF(M191&gt;0,N191*100/M191,0)</f>
        <v>98.074697095435681</v>
      </c>
      <c r="Q191" s="224">
        <f ca="1">IFERROR(__xludf.DUMMYFUNCTION("IMPORTRANGE(""https://docs.google.com/spreadsheets/d/1ItG2mGa2ceCfYo0BwxsXqNm01IGEUdYcSSLTEv9YCik/edit?usp=sharing"",""เบิกจ่ายกองทุน!BQ26"")"),28000)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IFERROR(__xludf.DUMMYFUNCTION("IMPORTRANGE(""https://docs.google.com/spreadsheets/d/1ItG2mGa2ceCfYo0BwxsXqNm01IGEUdYcSSLTEv9YCik/edit?usp=sharing"",""เบิกจ่ายกองทุน!BR26"")"),28000)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IFERROR(__xludf.DUMMYFUNCTION("IMPORTRANGE(""https://docs.google.com/spreadsheets/d/1ItG2mGa2ceCfYo0BwxsXqNm01IGEUdYcSSLTEv9YCik/edit?usp=sharing"",""เบิกจ่ายกองทุน!BS26"")"),28000)</f>
        <v>28000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IFERROR(__xludf.DUMMYFUNCTION("IMPORTRANGE(""https://docs.google.com/spreadsheets/d/1-uDff_7J0KD5mKrp0Vvzr7lt3OU09vwQwhkpOPPYv2Y/edit?usp=sharing"",""งบพรบ!CX26"")"),0)</f>
        <v>0</v>
      </c>
      <c r="M194" s="224">
        <f ca="1">IFERROR(__xludf.DUMMYFUNCTION("IMPORTRANGE(""https://docs.google.com/spreadsheets/d/1-uDff_7J0KD5mKrp0Vvzr7lt3OU09vwQwhkpOPPYv2Y/edit?usp=sharing"",""งบพรบ!DA26"")"),0)</f>
        <v>0</v>
      </c>
      <c r="N194" s="224">
        <f ca="1">IFERROR(__xludf.DUMMYFUNCTION("IMPORTRANGE(""https://docs.google.com/spreadsheets/d/1-uDff_7J0KD5mKrp0Vvzr7lt3OU09vwQwhkpOPPYv2Y/edit?usp=sharing"",""งบพรบ!DC26"")"),0)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IFERROR(__xludf.DUMMYFUNCTION("IMPORTRANGE(""https://docs.google.com/spreadsheets/d/1ItG2mGa2ceCfYo0BwxsXqNm01IGEUdYcSSLTEv9YCik/edit?usp=sharing"",""เบิกจ่ายกองทุน!BT26"")"),0)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IFERROR(__xludf.DUMMYFUNCTION("IMPORTRANGE(""https://docs.google.com/spreadsheets/d/1ItG2mGa2ceCfYo0BwxsXqNm01IGEUdYcSSLTEv9YCik/edit?usp=sharing"",""เบิกจ่ายกองทุน!BU26"")"),0)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IFERROR(__xludf.DUMMYFUNCTION("IMPORTRANGE(""https://docs.google.com/spreadsheets/d/1ItG2mGa2ceCfYo0BwxsXqNm01IGEUdYcSSLTEv9YCik/edit?usp=sharing"",""เบิกจ่ายกองทุน!BV26"")"),0)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IFERROR(__xludf.DUMMYFUNCTION("IMPORTRANGE(""https://docs.google.com/spreadsheets/d/1eHaY18a8A9IcSdp1K8H6x8fbOy06t2VsZHhMHf-1x7Y/edit?usp=sharing"",""แผน!AB26"")"),6000)</f>
        <v>6000</v>
      </c>
      <c r="M196" s="45"/>
      <c r="N196" s="749">
        <v>1500</v>
      </c>
      <c r="O196" s="547">
        <f ca="1">IF(L196&gt;0,N196*100/L196,0)</f>
        <v>25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IFERROR(__xludf.DUMMYFUNCTION("IMPORTRANGE(""https://docs.google.com/spreadsheets/d/1eHaY18a8A9IcSdp1K8H6x8fbOy06t2VsZHhMHf-1x7Y/edit?usp=sharing"",""แผน!AE26"")"),4)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160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160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13000</v>
      </c>
      <c r="M203" s="45"/>
      <c r="N203" s="547">
        <f>N204+N205+N206+N207</f>
        <v>11980</v>
      </c>
      <c r="O203" s="547">
        <f ca="1">IF(L203&gt;0,N203*100/L203,0)</f>
        <v>92.15384615384616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28000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IFERROR(__xludf.DUMMYFUNCTION("IMPORTRANGE(""https://docs.google.com/spreadsheets/d/1eHaY18a8A9IcSdp1K8H6x8fbOy06t2VsZHhMHf-1x7Y/edit?usp=sharing"",""แผน!AG26"")"),2000)</f>
        <v>2000</v>
      </c>
      <c r="M204" s="45"/>
      <c r="N204" s="737">
        <v>980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IFERROR(__xludf.DUMMYFUNCTION("IMPORTRANGE(""https://docs.google.com/spreadsheets/d/1eHaY18a8A9IcSdp1K8H6x8fbOy06t2VsZHhMHf-1x7Y/edit?usp=sharing"",""แผน!AH26"")"),0)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IFERROR(__xludf.DUMMYFUNCTION("IMPORTRANGE(""https://docs.google.com/spreadsheets/d/1eHaY18a8A9IcSdp1K8H6x8fbOy06t2VsZHhMHf-1x7Y/edit?usp=sharing"",""แผน!AI26"")"),0)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IFERROR(__xludf.DUMMYFUNCTION("IMPORTRANGE(""https://docs.google.com/spreadsheets/d/1eHaY18a8A9IcSdp1K8H6x8fbOy06t2VsZHhMHf-1x7Y/edit?usp=sharing"",""แผน!LV26"")"),28000)</f>
        <v>28000</v>
      </c>
      <c r="R206" s="45"/>
      <c r="S206" s="737">
        <v>28000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IFERROR(__xludf.DUMMYFUNCTION("IMPORTRANGE(""https://docs.google.com/spreadsheets/d/1eHaY18a8A9IcSdp1K8H6x8fbOy06t2VsZHhMHf-1x7Y/edit?usp=sharing"",""แผน!AJ26"")"),11000)</f>
        <v>11000</v>
      </c>
      <c r="M207" s="45"/>
      <c r="N207" s="737">
        <v>11000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IFERROR(__xludf.DUMMYFUNCTION("IMPORTRANGE(""https://docs.google.com/spreadsheets/d/1eHaY18a8A9IcSdp1K8H6x8fbOy06t2VsZHhMHf-1x7Y/edit?usp=sharing"",""แผน!AK26"")"),2)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IFERROR(__xludf.DUMMYFUNCTION("IMPORTRANGE(""https://docs.google.com/spreadsheets/d/1eHaY18a8A9IcSdp1K8H6x8fbOy06t2VsZHhMHf-1x7Y/edit?usp=sharing"",""แผน!JX26"")"),2)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IFERROR(__xludf.DUMMYFUNCTION("IMPORTRANGE(""https://docs.google.com/spreadsheets/d/1eHaY18a8A9IcSdp1K8H6x8fbOy06t2VsZHhMHf-1x7Y/edit?usp=sharing"",""แผน!JY26"")"),1)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IFERROR(__xludf.DUMMYFUNCTION("IMPORTRANGE(""https://docs.google.com/spreadsheets/d/1eHaY18a8A9IcSdp1K8H6x8fbOy06t2VsZHhMHf-1x7Y/edit?usp=sharing"",""แผน!AM26"")"),0)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IFERROR(__xludf.DUMMYFUNCTION("IMPORTRANGE(""https://docs.google.com/spreadsheets/d/1eHaY18a8A9IcSdp1K8H6x8fbOy06t2VsZHhMHf-1x7Y/edit?usp=sharing"",""แผน!AN26"")"),0)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IFERROR(__xludf.DUMMYFUNCTION("IMPORTRANGE(""https://docs.google.com/spreadsheets/d/1eHaY18a8A9IcSdp1K8H6x8fbOy06t2VsZHhMHf-1x7Y/edit?usp=sharing"",""แผน!AO26"")"),0)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IFERROR(__xludf.DUMMYFUNCTION("IMPORTRANGE(""https://docs.google.com/spreadsheets/d/1eHaY18a8A9IcSdp1K8H6x8fbOy06t2VsZHhMHf-1x7Y/edit?usp=sharing"",""แผน!LY26"")"),0)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IFERROR(__xludf.DUMMYFUNCTION("IMPORTRANGE(""https://docs.google.com/spreadsheets/d/1eHaY18a8A9IcSdp1K8H6x8fbOy06t2VsZHhMHf-1x7Y/edit?usp=sharing"",""แผน!AP26"")"),0)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IFERROR(__xludf.DUMMYFUNCTION("IMPORTRANGE(""https://docs.google.com/spreadsheets/d/1eHaY18a8A9IcSdp1K8H6x8fbOy06t2VsZHhMHf-1x7Y/edit?usp=sharing"",""แผน!AP26"")"),0)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IFERROR(__xludf.DUMMYFUNCTION("IMPORTRANGE(""https://docs.google.com/spreadsheets/d/1eHaY18a8A9IcSdp1K8H6x8fbOy06t2VsZHhMHf-1x7Y/edit?usp=sharing"",""แผน!AR26"")"),2500)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IFERROR(__xludf.DUMMYFUNCTION("IMPORTRANGE(""https://docs.google.com/spreadsheets/d/1eHaY18a8A9IcSdp1K8H6x8fbOy06t2VsZHhMHf-1x7Y/edit?usp=sharing"",""แผน!AS26"")"),6000)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IFERROR(__xludf.DUMMYFUNCTION("IMPORTRANGE(""https://docs.google.com/spreadsheets/d/1eHaY18a8A9IcSdp1K8H6x8fbOy06t2VsZHhMHf-1x7Y/edit?usp=sharing"",""แผน!AT26"")"),0)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IFERROR(__xludf.DUMMYFUNCTION("IMPORTRANGE(""https://docs.google.com/spreadsheets/d/1eHaY18a8A9IcSdp1K8H6x8fbOy06t2VsZHhMHf-1x7Y/edit?usp=sharing"",""แผน!AV26"")"),50000)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IFERROR(__xludf.DUMMYFUNCTION("IMPORTRANGE(""https://docs.google.com/spreadsheets/d/1eHaY18a8A9IcSdp1K8H6x8fbOy06t2VsZHhMHf-1x7Y/edit?usp=sharing"",""แผน!AV26"")"),50000)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IFERROR(__xludf.DUMMYFUNCTION("IMPORTRANGE(""https://docs.google.com/spreadsheets/d/1eHaY18a8A9IcSdp1K8H6x8fbOy06t2VsZHhMHf-1x7Y/edit?usp=sharing"",""แผน!AU26"")"),0)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IFERROR(__xludf.DUMMYFUNCTION("IMPORTRANGE(""https://docs.google.com/spreadsheets/d/1eHaY18a8A9IcSdp1K8H6x8fbOy06t2VsZHhMHf-1x7Y/edit?usp=sharing"",""แผน!AX26"")"),0)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IFERROR(__xludf.DUMMYFUNCTION("IMPORTRANGE(""https://docs.google.com/spreadsheets/d/1eHaY18a8A9IcSdp1K8H6x8fbOy06t2VsZHhMHf-1x7Y/edit?usp=sharing"",""แผน!AY26"")"),0)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IFERROR(__xludf.DUMMYFUNCTION("IMPORTRANGE(""https://docs.google.com/spreadsheets/d/1eHaY18a8A9IcSdp1K8H6x8fbOy06t2VsZHhMHf-1x7Y/edit?usp=sharing"",""แผน!AZ26"")"),0)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IFERROR(__xludf.DUMMYFUNCTION("IMPORTRANGE(""https://docs.google.com/spreadsheets/d/1eHaY18a8A9IcSdp1K8H6x8fbOy06t2VsZHhMHf-1x7Y/edit?usp=sharing"",""แผน!BA26"")"),0)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IFERROR(__xludf.DUMMYFUNCTION("IMPORTRANGE(""https://docs.google.com/spreadsheets/d/1eHaY18a8A9IcSdp1K8H6x8fbOy06t2VsZHhMHf-1x7Y/edit?usp=sharing"",""แผน!BG26"")"),0)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IFERROR(__xludf.DUMMYFUNCTION("IMPORTRANGE(""https://docs.google.com/spreadsheets/d/1eHaY18a8A9IcSdp1K8H6x8fbOy06t2VsZHhMHf-1x7Y/edit?usp=sharing"",""แผน!BB26"")"),0)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IFERROR(__xludf.DUMMYFUNCTION("IMPORTRANGE(""https://docs.google.com/spreadsheets/d/1eHaY18a8A9IcSdp1K8H6x8fbOy06t2VsZHhMHf-1x7Y/edit?usp=sharing"",""แผน!BC26"")"),0)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IFERROR(__xludf.DUMMYFUNCTION("IMPORTRANGE(""https://docs.google.com/spreadsheets/d/1eHaY18a8A9IcSdp1K8H6x8fbOy06t2VsZHhMHf-1x7Y/edit?usp=sharing"",""แผน!BD26"")"),0)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IFERROR(__xludf.DUMMYFUNCTION("IMPORTRANGE(""https://docs.google.com/spreadsheets/d/1eHaY18a8A9IcSdp1K8H6x8fbOy06t2VsZHhMHf-1x7Y/edit?usp=sharing"",""แผน!BE26"")"),0)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IFERROR(__xludf.DUMMYFUNCTION("IMPORTRANGE(""https://docs.google.com/spreadsheets/d/1eHaY18a8A9IcSdp1K8H6x8fbOy06t2VsZHhMHf-1x7Y/edit?usp=sharing"",""แผน!BH26"")"),0)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21000</v>
      </c>
      <c r="N266" s="715">
        <f ca="1">N267+N268</f>
        <v>21000</v>
      </c>
      <c r="O266" s="715">
        <f ca="1">IF(L266&gt;0,N266*100/L266,0)</f>
        <v>420</v>
      </c>
      <c r="P266" s="715">
        <f ca="1">IF(M266&gt;0,N266*100/M266,0)</f>
        <v>100</v>
      </c>
      <c r="Q266" s="715">
        <f ca="1">Q267+Q268</f>
        <v>50660</v>
      </c>
      <c r="R266" s="715">
        <f ca="1">R267+R268</f>
        <v>50660</v>
      </c>
      <c r="S266" s="715">
        <f ca="1">S267+S268</f>
        <v>47380</v>
      </c>
      <c r="T266" s="715">
        <f ca="1">IF(Q266&gt;0,S266*100/Q266,0)</f>
        <v>93.525463876825896</v>
      </c>
      <c r="U266" s="715">
        <f ca="1">IF(R266&gt;0,S266*100/R266,0)</f>
        <v>93.525463876825896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21000</v>
      </c>
      <c r="N268" s="558">
        <f ca="1">N271+N274</f>
        <v>21000</v>
      </c>
      <c r="O268" s="558">
        <f ca="1">IF(L268&gt;0,N268*100/L268,0)</f>
        <v>420</v>
      </c>
      <c r="P268" s="558">
        <f ca="1">IF(M268&gt;0,N268*100/M268,0)</f>
        <v>100</v>
      </c>
      <c r="Q268" s="558">
        <f ca="1">Q271+Q274</f>
        <v>50660</v>
      </c>
      <c r="R268" s="558">
        <f ca="1">R271+R274</f>
        <v>50660</v>
      </c>
      <c r="S268" s="558">
        <f ca="1">S271+S274</f>
        <v>47380</v>
      </c>
      <c r="T268" s="558">
        <f ca="1">IF(Q268&gt;0,S268*100/Q268,0)</f>
        <v>93.525463876825896</v>
      </c>
      <c r="U268" s="558">
        <f ca="1">IF(R268&gt;0,S268*100/R268,0)</f>
        <v>93.525463876825896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21000</v>
      </c>
      <c r="N269" s="558">
        <f ca="1">N270+N271</f>
        <v>21000</v>
      </c>
      <c r="O269" s="558">
        <f ca="1">IF(L269&gt;0,N269*100/L269,0)</f>
        <v>420</v>
      </c>
      <c r="P269" s="558">
        <f ca="1">IF(M269&gt;0,N269*100/M269,0)</f>
        <v>100</v>
      </c>
      <c r="Q269" s="558">
        <f ca="1">Q270+Q271</f>
        <v>50660</v>
      </c>
      <c r="R269" s="558">
        <f ca="1">R270+R271</f>
        <v>50660</v>
      </c>
      <c r="S269" s="558">
        <f ca="1">S270+S271</f>
        <v>47380</v>
      </c>
      <c r="T269" s="558">
        <f ca="1">IF(Q269&gt;0,S269*100/Q269,0)</f>
        <v>93.525463876825896</v>
      </c>
      <c r="U269" s="558">
        <f ca="1">IF(R269&gt;0,S269*100/R269,0)</f>
        <v>93.525463876825896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IFERROR(__xludf.DUMMYFUNCTION("IMPORTRANGE(""https://docs.google.com/spreadsheets/d/1-uDff_7J0KD5mKrp0Vvzr7lt3OU09vwQwhkpOPPYv2Y/edit?usp=sharing"",""งบพรบ!DE26"")"),5000)</f>
        <v>5000</v>
      </c>
      <c r="M271" s="558">
        <f ca="1">IFERROR(__xludf.DUMMYFUNCTION("IMPORTRANGE(""https://docs.google.com/spreadsheets/d/1-uDff_7J0KD5mKrp0Vvzr7lt3OU09vwQwhkpOPPYv2Y/edit?usp=sharing"",""งบพรบ!DJ26"")"),21000)</f>
        <v>21000</v>
      </c>
      <c r="N271" s="558">
        <f ca="1">IFERROR(__xludf.DUMMYFUNCTION("IMPORTRANGE(""https://docs.google.com/spreadsheets/d/1-uDff_7J0KD5mKrp0Vvzr7lt3OU09vwQwhkpOPPYv2Y/edit?usp=sharing"",""งบพรบ!DL26"")"),21000)</f>
        <v>21000</v>
      </c>
      <c r="O271" s="558">
        <f ca="1">IF(L271&gt;0,N271*100/L271,0)</f>
        <v>420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IFERROR(__xludf.DUMMYFUNCTION("IMPORTRANGE(""https://docs.google.com/spreadsheets/d/1ItG2mGa2ceCfYo0BwxsXqNm01IGEUdYcSSLTEv9YCik/edit?usp=sharing"",""เบิกจ่ายกองทุน!AP26"")"),50660)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IFERROR(__xludf.DUMMYFUNCTION("IMPORTRANGE(""https://docs.google.com/spreadsheets/d/1ItG2mGa2ceCfYo0BwxsXqNm01IGEUdYcSSLTEv9YCik/edit?usp=sharing"",""เบิกจ่ายกองทุน!AQ26"")"),50660)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IFERROR(__xludf.DUMMYFUNCTION("IMPORTRANGE(""https://docs.google.com/spreadsheets/d/1ItG2mGa2ceCfYo0BwxsXqNm01IGEUdYcSSLTEv9YCik/edit?usp=sharing"",""เบิกจ่ายกองทุน!AR26"")"),47380)</f>
        <v>47380</v>
      </c>
      <c r="T271" s="558">
        <f ca="1">IF(Q271&gt;0,S271*100/Q271,0)</f>
        <v>93.525463876825896</v>
      </c>
      <c r="U271" s="558">
        <f ca="1">IF(R271&gt;0,S271*100/R271,0)</f>
        <v>93.525463876825896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IFERROR(__xludf.DUMMYFUNCTION("IMPORTRANGE(""https://docs.google.com/spreadsheets/d/1-uDff_7J0KD5mKrp0Vvzr7lt3OU09vwQwhkpOPPYv2Y/edit?usp=sharing"",""งบพรบ!DH26"")"),0)</f>
        <v>0</v>
      </c>
      <c r="M274" s="558">
        <f ca="1">IFERROR(__xludf.DUMMYFUNCTION("IMPORTRANGE(""https://docs.google.com/spreadsheets/d/1-uDff_7J0KD5mKrp0Vvzr7lt3OU09vwQwhkpOPPYv2Y/edit?usp=sharing"",""งบพรบ!DK26"")"),0)</f>
        <v>0</v>
      </c>
      <c r="N274" s="558">
        <f ca="1">IFERROR(__xludf.DUMMYFUNCTION("IMPORTRANGE(""https://docs.google.com/spreadsheets/d/1-uDff_7J0KD5mKrp0Vvzr7lt3OU09vwQwhkpOPPYv2Y/edit?usp=sharing"",""งบพรบ!DM26"")"),0)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IFERROR(__xludf.DUMMYFUNCTION("IMPORTRANGE(""https://docs.google.com/spreadsheets/d/1eHaY18a8A9IcSdp1K8H6x8fbOy06t2VsZHhMHf-1x7Y/edit?usp=sharing"",""แผน!EC26"")"),22)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85120</v>
      </c>
      <c r="M282" s="547">
        <f ca="1">M283+M284</f>
        <v>97170</v>
      </c>
      <c r="N282" s="547">
        <f ca="1">N283+N284</f>
        <v>75082</v>
      </c>
      <c r="O282" s="547">
        <f ca="1">IF(L282&gt;0,N282*100/L282,0)</f>
        <v>88.20723684210526</v>
      </c>
      <c r="P282" s="547">
        <f ca="1">IF(M282&gt;0,N282*100/M282,0)</f>
        <v>77.268704332612941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85120</v>
      </c>
      <c r="M284" s="224">
        <f ca="1">M287+M290</f>
        <v>97170</v>
      </c>
      <c r="N284" s="224">
        <f ca="1">N287+N290</f>
        <v>75082</v>
      </c>
      <c r="O284" s="224">
        <f ca="1">IF(L284&gt;0,N284*100/L284,0)</f>
        <v>88.20723684210526</v>
      </c>
      <c r="P284" s="224">
        <f ca="1">IF(M284&gt;0,N284*100/M284,0)</f>
        <v>77.268704332612941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85120</v>
      </c>
      <c r="M285" s="224">
        <f ca="1">M286+M287</f>
        <v>97170</v>
      </c>
      <c r="N285" s="224">
        <f ca="1">N286+N287</f>
        <v>75082</v>
      </c>
      <c r="O285" s="224">
        <f ca="1">IF(L285&gt;0,N285*100/L285,0)</f>
        <v>88.20723684210526</v>
      </c>
      <c r="P285" s="224">
        <f ca="1">IF(M285&gt;0,N285*100/M285,0)</f>
        <v>77.268704332612941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IFERROR(__xludf.DUMMYFUNCTION("IMPORTRANGE(""https://docs.google.com/spreadsheets/d/1-uDff_7J0KD5mKrp0Vvzr7lt3OU09vwQwhkpOPPYv2Y/edit?usp=sharing"",""งบพรบ!DO26"")"),85120)</f>
        <v>85120</v>
      </c>
      <c r="M287" s="224">
        <f ca="1">IFERROR(__xludf.DUMMYFUNCTION("IMPORTRANGE(""https://docs.google.com/spreadsheets/d/1-uDff_7J0KD5mKrp0Vvzr7lt3OU09vwQwhkpOPPYv2Y/edit?usp=sharing"",""งบพรบ!DT26"")"),97170)</f>
        <v>97170</v>
      </c>
      <c r="N287" s="224">
        <f ca="1">IFERROR(__xludf.DUMMYFUNCTION("IMPORTRANGE(""https://docs.google.com/spreadsheets/d/1-uDff_7J0KD5mKrp0Vvzr7lt3OU09vwQwhkpOPPYv2Y/edit?usp=sharing"",""งบพรบ!DV26"")"),75082)</f>
        <v>75082</v>
      </c>
      <c r="O287" s="224">
        <f ca="1">IF(L287&gt;0,N287*100/L287,0)</f>
        <v>88.20723684210526</v>
      </c>
      <c r="P287" s="224">
        <f ca="1">IF(M287&gt;0,N287*100/M287,0)</f>
        <v>77.268704332612941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IFERROR(__xludf.DUMMYFUNCTION("IMPORTRANGE(""https://docs.google.com/spreadsheets/d/1-uDff_7J0KD5mKrp0Vvzr7lt3OU09vwQwhkpOPPYv2Y/edit?usp=sharing"",""งบพรบ!DR26"")"),0)</f>
        <v>0</v>
      </c>
      <c r="M290" s="224">
        <f ca="1">IFERROR(__xludf.DUMMYFUNCTION("IMPORTRANGE(""https://docs.google.com/spreadsheets/d/1-uDff_7J0KD5mKrp0Vvzr7lt3OU09vwQwhkpOPPYv2Y/edit?usp=sharing"",""งบพรบ!DU26"")"),0)</f>
        <v>0</v>
      </c>
      <c r="N290" s="224">
        <f ca="1">IFERROR(__xludf.DUMMYFUNCTION("IMPORTRANGE(""https://docs.google.com/spreadsheets/d/1-uDff_7J0KD5mKrp0Vvzr7lt3OU09vwQwhkpOPPYv2Y/edit?usp=sharing"",""งบพรบ!DW26"")"),0)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IFERROR(__xludf.DUMMYFUNCTION("IMPORTRANGE(""https://docs.google.com/spreadsheets/d/1eHaY18a8A9IcSdp1K8H6x8fbOy06t2VsZHhMHf-1x7Y/edit?usp=sharing"",""แผน!EE26"")"),300)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IFERROR(__xludf.DUMMYFUNCTION("IMPORTRANGE(""https://docs.google.com/spreadsheets/d/1eHaY18a8A9IcSdp1K8H6x8fbOy06t2VsZHhMHf-1x7Y/edit?usp=sharing"",""แผน!ED26"")"),30)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IFERROR(__xludf.DUMMYFUNCTION("IMPORTRANGE(""https://docs.google.com/spreadsheets/d/1eHaY18a8A9IcSdp1K8H6x8fbOy06t2VsZHhMHf-1x7Y/edit?usp=sharing"",""แผน!ED26"")"),30)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IFERROR(__xludf.DUMMYFUNCTION("IMPORTRANGE(""https://docs.google.com/spreadsheets/d/1eHaY18a8A9IcSdp1K8H6x8fbOy06t2VsZHhMHf-1x7Y/edit?usp=sharing"",""แผน!ED26"")"),30)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IFERROR(__xludf.DUMMYFUNCTION("IMPORTRANGE(""https://docs.google.com/spreadsheets/d/1eHaY18a8A9IcSdp1K8H6x8fbOy06t2VsZHhMHf-1x7Y/edit?usp=sharing"",""แผน!ED26"")"),30)</f>
        <v>30</v>
      </c>
      <c r="J298" s="380">
        <v>30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IFERROR(__xludf.DUMMYFUNCTION("IMPORTRANGE(""https://docs.google.com/spreadsheets/d/1eHaY18a8A9IcSdp1K8H6x8fbOy06t2VsZHhMHf-1x7Y/edit?usp=sharing"",""แผน!ED26"")"),30)</f>
        <v>30</v>
      </c>
      <c r="J299" s="380">
        <v>30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211405</v>
      </c>
      <c r="T303" s="547">
        <f ca="1">IF(Q303&gt;0,S303*100/Q303,0)</f>
        <v>81.010999493060936</v>
      </c>
      <c r="U303" s="547">
        <f ca="1">IF(R303&gt;0,S303*100/R303,0)</f>
        <v>79.727935796770225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211405</v>
      </c>
      <c r="T305" s="224">
        <f ca="1">IF(Q305&gt;0,S305*100/Q305,0)</f>
        <v>81.010999493060936</v>
      </c>
      <c r="U305" s="224">
        <f ca="1">IF(R305&gt;0,S305*100/R305,0)</f>
        <v>79.727935796770225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211405</v>
      </c>
      <c r="T306" s="224">
        <f ca="1">IF(Q306&gt;0,S306*100/Q306,0)</f>
        <v>81.010999493060936</v>
      </c>
      <c r="U306" s="224">
        <f ca="1">IF(R306&gt;0,S306*100/R306,0)</f>
        <v>79.727935796770225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IFERROR(__xludf.DUMMYFUNCTION("IMPORTRANGE(""https://docs.google.com/spreadsheets/d/1-uDff_7J0KD5mKrp0Vvzr7lt3OU09vwQwhkpOPPYv2Y/edit?usp=sharing"",""งบพรบ!DY26"")"),0)</f>
        <v>0</v>
      </c>
      <c r="M308" s="224">
        <f ca="1">IFERROR(__xludf.DUMMYFUNCTION("IMPORTRANGE(""https://docs.google.com/spreadsheets/d/1-uDff_7J0KD5mKrp0Vvzr7lt3OU09vwQwhkpOPPYv2Y/edit?usp=sharing"",""งบพรบ!ED26"")"),0)</f>
        <v>0</v>
      </c>
      <c r="N308" s="224">
        <f ca="1">IFERROR(__xludf.DUMMYFUNCTION("IMPORTRANGE(""https://docs.google.com/spreadsheets/d/1-uDff_7J0KD5mKrp0Vvzr7lt3OU09vwQwhkpOPPYv2Y/edit?usp=sharing"",""งบพรบ!EF26"")"),0)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IFERROR(__xludf.DUMMYFUNCTION("IMPORTRANGE(""https://docs.google.com/spreadsheets/d/1ItG2mGa2ceCfYo0BwxsXqNm01IGEUdYcSSLTEv9YCik/edit?usp=sharing"",""เบิกจ่ายกองทุน!BB26"")"),260958.39)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IFERROR(__xludf.DUMMYFUNCTION("IMPORTRANGE(""https://docs.google.com/spreadsheets/d/1ItG2mGa2ceCfYo0BwxsXqNm01IGEUdYcSSLTEv9YCik/edit?usp=sharing"",""เบิกจ่ายกองทุน!BC26"")"),265158)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IFERROR(__xludf.DUMMYFUNCTION("IMPORTRANGE(""https://docs.google.com/spreadsheets/d/1ItG2mGa2ceCfYo0BwxsXqNm01IGEUdYcSSLTEv9YCik/edit?usp=sharing"",""เบิกจ่ายกองทุน!BD26"")"),211405)</f>
        <v>211405</v>
      </c>
      <c r="T308" s="224">
        <f ca="1">IF(Q308&gt;0,S308*100/Q308,0)</f>
        <v>81.010999493060936</v>
      </c>
      <c r="U308" s="224">
        <f ca="1">IF(R308&gt;0,S308*100/R308,0)</f>
        <v>79.727935796770225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IFERROR(__xludf.DUMMYFUNCTION("IMPORTRANGE(""https://docs.google.com/spreadsheets/d/1-uDff_7J0KD5mKrp0Vvzr7lt3OU09vwQwhkpOPPYv2Y/edit?usp=sharing"",""งบพรบ!EB26"")"),0)</f>
        <v>0</v>
      </c>
      <c r="M311" s="224">
        <f ca="1">IFERROR(__xludf.DUMMYFUNCTION("IMPORTRANGE(""https://docs.google.com/spreadsheets/d/1-uDff_7J0KD5mKrp0Vvzr7lt3OU09vwQwhkpOPPYv2Y/edit?usp=sharing"",""งบพรบ!EE26"")"),0)</f>
        <v>0</v>
      </c>
      <c r="N311" s="224">
        <f ca="1">IFERROR(__xludf.DUMMYFUNCTION("IMPORTRANGE(""https://docs.google.com/spreadsheets/d/1-uDff_7J0KD5mKrp0Vvzr7lt3OU09vwQwhkpOPPYv2Y/edit?usp=sharing"",""งบพรบ!EG26"")"),0)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IFERROR(__xludf.DUMMYFUNCTION("IMPORTRANGE(""https://docs.google.com/spreadsheets/d/1eHaY18a8A9IcSdp1K8H6x8fbOy06t2VsZHhMHf-1x7Y/edit?usp=sharing"",""แผน!EF26"")"),30)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IFERROR(__xludf.DUMMYFUNCTION("IMPORTRANGE(""https://docs.google.com/spreadsheets/d/1-uDff_7J0KD5mKrp0Vvzr7lt3OU09vwQwhkpOPPYv2Y/edit?usp=sharing"",""งบพรบ!EI26"")"),0)</f>
        <v>0</v>
      </c>
      <c r="M325" s="224">
        <f ca="1">IFERROR(__xludf.DUMMYFUNCTION("IMPORTRANGE(""https://docs.google.com/spreadsheets/d/1-uDff_7J0KD5mKrp0Vvzr7lt3OU09vwQwhkpOPPYv2Y/edit?usp=sharing"",""งบพรบ!EN26"")"),0)</f>
        <v>0</v>
      </c>
      <c r="N325" s="224">
        <f ca="1">IFERROR(__xludf.DUMMYFUNCTION("IMPORTRANGE(""https://docs.google.com/spreadsheets/d/1-uDff_7J0KD5mKrp0Vvzr7lt3OU09vwQwhkpOPPYv2Y/edit?usp=sharing"",""งบพรบ!EP26"")"),0)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IFERROR(__xludf.DUMMYFUNCTION("IMPORTRANGE(""https://docs.google.com/spreadsheets/d/1-uDff_7J0KD5mKrp0Vvzr7lt3OU09vwQwhkpOPPYv2Y/edit?usp=sharing"",""งบพรบ!EL26"")"),0)</f>
        <v>0</v>
      </c>
      <c r="M328" s="224">
        <f ca="1">IFERROR(__xludf.DUMMYFUNCTION("IMPORTRANGE(""https://docs.google.com/spreadsheets/d/1-uDff_7J0KD5mKrp0Vvzr7lt3OU09vwQwhkpOPPYv2Y/edit?usp=sharing"",""งบพรบ!EO26"")"),0)</f>
        <v>0</v>
      </c>
      <c r="N328" s="224">
        <f ca="1">IFERROR(__xludf.DUMMYFUNCTION("IMPORTRANGE(""https://docs.google.com/spreadsheets/d/1-uDff_7J0KD5mKrp0Vvzr7lt3OU09vwQwhkpOPPYv2Y/edit?usp=sharing"",""งบพรบ!EQ26"")"),0)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IFERROR(__xludf.DUMMYFUNCTION("IMPORTRANGE(""https://docs.google.com/spreadsheets/d/1eHaY18a8A9IcSdp1K8H6x8fbOy06t2VsZHhMHf-1x7Y/edit?usp=sharing"",""แผน!EJ26"")"),0)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IFERROR(__xludf.DUMMYFUNCTION("IMPORTRANGE(""https://docs.google.com/spreadsheets/d/1eHaY18a8A9IcSdp1K8H6x8fbOy06t2VsZHhMHf-1x7Y/edit?usp=sharing"",""แผน!EK26"")"),2000)</f>
        <v>2000</v>
      </c>
      <c r="J332" s="300">
        <f ca="1">J344+J347+J348+J349+J353+J354</f>
        <v>11202</v>
      </c>
      <c r="K332" s="679">
        <f ca="1">IF(I332&gt;0,J332*100/I332,0)</f>
        <v>560.1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187000</v>
      </c>
      <c r="M333" s="547">
        <f ca="1">M334+M335</f>
        <v>187000</v>
      </c>
      <c r="N333" s="547">
        <f ca="1">N334+N335</f>
        <v>173553.36</v>
      </c>
      <c r="O333" s="547">
        <f ca="1">IF(L333&gt;0,N333*100/L333,0)</f>
        <v>92.809283422459899</v>
      </c>
      <c r="P333" s="547">
        <f ca="1">IF(M333&gt;0,N333*100/M333,0)</f>
        <v>92.809283422459899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187000</v>
      </c>
      <c r="M335" s="224">
        <f ca="1">M338+M341</f>
        <v>187000</v>
      </c>
      <c r="N335" s="224">
        <f ca="1">N338+N341</f>
        <v>173553.36</v>
      </c>
      <c r="O335" s="224">
        <f ca="1">IF(L335&gt;0,N335*100/L335,0)</f>
        <v>92.809283422459899</v>
      </c>
      <c r="P335" s="224">
        <f ca="1">IF(M335&gt;0,N335*100/M335,0)</f>
        <v>92.809283422459899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187000</v>
      </c>
      <c r="M336" s="224">
        <f ca="1">M337+M338</f>
        <v>187000</v>
      </c>
      <c r="N336" s="224">
        <f ca="1">N337+N338</f>
        <v>173553.36</v>
      </c>
      <c r="O336" s="224">
        <f ca="1">IF(L336&gt;0,N336*100/L336,0)</f>
        <v>92.809283422459899</v>
      </c>
      <c r="P336" s="224">
        <f ca="1">IF(M336&gt;0,N336*100/M336,0)</f>
        <v>92.809283422459899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IFERROR(__xludf.DUMMYFUNCTION("IMPORTRANGE(""https://docs.google.com/spreadsheets/d/1-uDff_7J0KD5mKrp0Vvzr7lt3OU09vwQwhkpOPPYv2Y/edit?usp=sharing"",""งบพรบ!ES26"")"),187000)</f>
        <v>187000</v>
      </c>
      <c r="M338" s="224">
        <f ca="1">IFERROR(__xludf.DUMMYFUNCTION("IMPORTRANGE(""https://docs.google.com/spreadsheets/d/1-uDff_7J0KD5mKrp0Vvzr7lt3OU09vwQwhkpOPPYv2Y/edit?usp=sharing"",""งบพรบ!EX26"")"),187000)</f>
        <v>187000</v>
      </c>
      <c r="N338" s="224">
        <f ca="1">IFERROR(__xludf.DUMMYFUNCTION("IMPORTRANGE(""https://docs.google.com/spreadsheets/d/1-uDff_7J0KD5mKrp0Vvzr7lt3OU09vwQwhkpOPPYv2Y/edit?usp=sharing"",""งบพรบ!EZ26"")"),173553.36)</f>
        <v>173553.36</v>
      </c>
      <c r="O338" s="224">
        <f ca="1">IF(L338&gt;0,N338*100/L338,0)</f>
        <v>92.809283422459899</v>
      </c>
      <c r="P338" s="224">
        <f ca="1">IF(M338&gt;0,N338*100/M338,0)</f>
        <v>92.809283422459899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IFERROR(__xludf.DUMMYFUNCTION("IMPORTRANGE(""https://docs.google.com/spreadsheets/d/1-uDff_7J0KD5mKrp0Vvzr7lt3OU09vwQwhkpOPPYv2Y/edit?usp=sharing"",""งบพรบ!EV26"")"),0)</f>
        <v>0</v>
      </c>
      <c r="M341" s="224">
        <f ca="1">IFERROR(__xludf.DUMMYFUNCTION("IMPORTRANGE(""https://docs.google.com/spreadsheets/d/1-uDff_7J0KD5mKrp0Vvzr7lt3OU09vwQwhkpOPPYv2Y/edit?usp=sharing"",""งบพรบ!EY26"")"),0)</f>
        <v>0</v>
      </c>
      <c r="N341" s="224">
        <f ca="1">IFERROR(__xludf.DUMMYFUNCTION("IMPORTRANGE(""https://docs.google.com/spreadsheets/d/1-uDff_7J0KD5mKrp0Vvzr7lt3OU09vwQwhkpOPPYv2Y/edit?usp=sharing"",""งบพรบ!FA26"")"),0)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4991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IFERROR(__xludf.DUMMYFUNCTION("IMPORTRANGE(""https://docs.google.com/spreadsheets/d/1awYsYK3VOup2i3Pq_Yjnu8DRu_mYwSBnCR2QPthd0rU/edit?usp=sharing"",""ศูนย์ยกเว้นโฉนด!D26"")"),4856)</f>
        <v>4856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IFERROR(__xludf.DUMMYFUNCTION("IMPORTRANGE(""https://docs.google.com/spreadsheets/d/1eHaY18a8A9IcSdp1K8H6x8fbOy06t2VsZHhMHf-1x7Y/edit?usp=sharing"",""แผน!EL26"")"),7)</f>
        <v>7</v>
      </c>
      <c r="J346" s="184">
        <f ca="1">IFERROR(__xludf.DUMMYFUNCTION("IMPORTRANGE(""https://docs.google.com/spreadsheets/d/1awYsYK3VOup2i3Pq_Yjnu8DRu_mYwSBnCR2QPthd0rU/edit?usp=sharing"",""ศูนย์รวม!E26"")"),5)</f>
        <v>5</v>
      </c>
      <c r="K346" s="224">
        <f ca="1">IF(I346&gt;0,J346*100/I346,0)</f>
        <v>71.428571428571431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IFERROR(__xludf.DUMMYFUNCTION("IMPORTRANGE(""https://docs.google.com/spreadsheets/d/1awYsYK3VOup2i3Pq_Yjnu8DRu_mYwSBnCR2QPthd0rU/edit?usp=sharing"",""ศูนย์ยกเว้นโฉนด!F26"")"),132)</f>
        <v>132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IFERROR(__xludf.DUMMYFUNCTION("IMPORTRANGE(""https://docs.google.com/spreadsheets/d/1awYsYK3VOup2i3Pq_Yjnu8DRu_mYwSBnCR2QPthd0rU/edit?usp=sharing"",""ศูนย์ยกเว้นโฉนด!G26"")"),3)</f>
        <v>3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IFERROR(__xludf.DUMMYFUNCTION("IMPORTRANGE(""https://docs.google.com/spreadsheets/d/1awYsYK3VOup2i3Pq_Yjnu8DRu_mYwSBnCR2QPthd0rU/edit?usp=sharing"",""ศูนย์ยกเว้นโฉนด!H26"")"),0)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6211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IFERROR(__xludf.DUMMYFUNCTION("IMPORTRANGE(""https://docs.google.com/spreadsheets/d/1awYsYK3VOup2i3Pq_Yjnu8DRu_mYwSBnCR2QPthd0rU/edit?usp=sharing"",""โฉนดM3!G26"")"),2148)</f>
        <v>2148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IFERROR(__xludf.DUMMYFUNCTION("IMPORTRANGE(""https://docs.google.com/spreadsheets/d/1awYsYK3VOup2i3Pq_Yjnu8DRu_mYwSBnCR2QPthd0rU/edit?usp=sharing"",""โฉนดM3!H26"")"),5048)</f>
        <v>5048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IFERROR(__xludf.DUMMYFUNCTION("IMPORTRANGE(""https://docs.google.com/spreadsheets/d/1awYsYK3VOup2i3Pq_Yjnu8DRu_mYwSBnCR2QPthd0rU/edit?usp=sharing"",""โฉนดM3!I26"")"),1163)</f>
        <v>1163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714750</v>
      </c>
      <c r="M356" s="547">
        <f ca="1">M357+M358</f>
        <v>941210</v>
      </c>
      <c r="N356" s="547">
        <f ca="1">N357+N358</f>
        <v>816709.71</v>
      </c>
      <c r="O356" s="547">
        <f ca="1">IF(L356&gt;0,N356*100/L356,0)</f>
        <v>114.2650870933893</v>
      </c>
      <c r="P356" s="547">
        <f ca="1">IF(M356&gt;0,N356*100/M356,0)</f>
        <v>86.772315423763033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714750</v>
      </c>
      <c r="M358" s="224">
        <f ca="1">M361+M364</f>
        <v>941210</v>
      </c>
      <c r="N358" s="224">
        <f ca="1">N361+N364</f>
        <v>816709.71</v>
      </c>
      <c r="O358" s="224">
        <f ca="1">IF(L358&gt;0,N358*100/L358,0)</f>
        <v>114.2650870933893</v>
      </c>
      <c r="P358" s="224">
        <f ca="1">IF(M358&gt;0,N358*100/M358,0)</f>
        <v>86.772315423763033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714750</v>
      </c>
      <c r="M359" s="224">
        <f ca="1">M360+M361</f>
        <v>941210</v>
      </c>
      <c r="N359" s="224">
        <f ca="1">N360+N361</f>
        <v>816709.71</v>
      </c>
      <c r="O359" s="224">
        <f ca="1">IF(L359&gt;0,N359*100/L359,0)</f>
        <v>114.2650870933893</v>
      </c>
      <c r="P359" s="224">
        <f ca="1">IF(M359&gt;0,N359*100/M359,0)</f>
        <v>86.772315423763033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IFERROR(__xludf.DUMMYFUNCTION("IMPORTRANGE(""https://docs.google.com/spreadsheets/d/1-uDff_7J0KD5mKrp0Vvzr7lt3OU09vwQwhkpOPPYv2Y/edit?usp=sharing"",""งบพรบ!FC26"")"),714750)</f>
        <v>714750</v>
      </c>
      <c r="M361" s="224">
        <f ca="1">IFERROR(__xludf.DUMMYFUNCTION("IMPORTRANGE(""https://docs.google.com/spreadsheets/d/1-uDff_7J0KD5mKrp0Vvzr7lt3OU09vwQwhkpOPPYv2Y/edit?usp=sharing"",""งบพรบ!FH26"")"),941210)</f>
        <v>941210</v>
      </c>
      <c r="N361" s="224">
        <f ca="1">IFERROR(__xludf.DUMMYFUNCTION("IMPORTRANGE(""https://docs.google.com/spreadsheets/d/1-uDff_7J0KD5mKrp0Vvzr7lt3OU09vwQwhkpOPPYv2Y/edit?usp=sharing"",""งบพรบ!FJ26"")"),816709.71)</f>
        <v>816709.71</v>
      </c>
      <c r="O361" s="224">
        <f ca="1">IF(L361&gt;0,N361*100/L361,0)</f>
        <v>114.2650870933893</v>
      </c>
      <c r="P361" s="224">
        <f ca="1">IF(M361&gt;0,N361*100/M361,0)</f>
        <v>86.772315423763033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IFERROR(__xludf.DUMMYFUNCTION("IMPORTRANGE(""https://docs.google.com/spreadsheets/d/1-uDff_7J0KD5mKrp0Vvzr7lt3OU09vwQwhkpOPPYv2Y/edit?usp=sharing"",""งบพรบ!FF26"")"),0)</f>
        <v>0</v>
      </c>
      <c r="M364" s="224">
        <f ca="1">IFERROR(__xludf.DUMMYFUNCTION("IMPORTRANGE(""https://docs.google.com/spreadsheets/d/1-uDff_7J0KD5mKrp0Vvzr7lt3OU09vwQwhkpOPPYv2Y/edit?usp=sharing"",""งบพรบ!FI26"")"),0)</f>
        <v>0</v>
      </c>
      <c r="N364" s="224">
        <f ca="1">IFERROR(__xludf.DUMMYFUNCTION("IMPORTRANGE(""https://docs.google.com/spreadsheets/d/1-uDff_7J0KD5mKrp0Vvzr7lt3OU09vwQwhkpOPPYv2Y/edit?usp=sharing"",""งบพรบ!FK26"")"),0)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640</v>
      </c>
      <c r="J365" s="302">
        <f ca="1">J371</f>
        <v>681</v>
      </c>
      <c r="K365" s="303">
        <f ca="1">IF(I365&gt;0,J365*100/I365,0)</f>
        <v>106.40625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IFERROR(__xludf.DUMMYFUNCTION("IMPORTRANGE(""https://docs.google.com/spreadsheets/d/1tdoBKaGub7dwA3U6UFTqxio9LNnvDCQjHKmttSEBsFQ/edit?usp=sharing"",""จัดที่ดิน!AB26"")"),294)</f>
        <v>294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IFERROR(__xludf.DUMMYFUNCTION("IMPORTRANGE(""https://docs.google.com/spreadsheets/d/1eHaY18a8A9IcSdp1K8H6x8fbOy06t2VsZHhMHf-1x7Y/edit?usp=sharing"",""แผน!EW26"")"),1200)</f>
        <v>1200</v>
      </c>
      <c r="J368" s="668">
        <f ca="1">IFERROR(__xludf.DUMMYFUNCTION("IMPORTRANGE(""https://docs.google.com/spreadsheets/d/1tdoBKaGub7dwA3U6UFTqxio9LNnvDCQjHKmttSEBsFQ/edit?usp=sharing"",""จัดที่ดิน!AC26"")"),1231.42999999999)</f>
        <v>1231.4299999999901</v>
      </c>
      <c r="K368" s="224">
        <f ca="1">IF(I368&gt;0,J368*100/I368,0)</f>
        <v>102.61916666666585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IFERROR(__xludf.DUMMYFUNCTION("IMPORTRANGE(""https://docs.google.com/spreadsheets/d/1eHaY18a8A9IcSdp1K8H6x8fbOy06t2VsZHhMHf-1x7Y/edit?usp=sharing"",""แผน!EX26"")"),640)</f>
        <v>640</v>
      </c>
      <c r="J369" s="184">
        <f ca="1">IFERROR(__xludf.DUMMYFUNCTION("IMPORTRANGE(""https://docs.google.com/spreadsheets/d/1tdoBKaGub7dwA3U6UFTqxio9LNnvDCQjHKmttSEBsFQ/edit?usp=sharing"",""จัดที่ดิน!AD26"")"),775)</f>
        <v>775</v>
      </c>
      <c r="K369" s="224">
        <f ca="1">IF(I369&gt;0,J369*100/I369,0)</f>
        <v>121.09375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IFERROR(__xludf.DUMMYFUNCTION("IMPORTRANGE(""https://docs.google.com/spreadsheets/d/1tdoBKaGub7dwA3U6UFTqxio9LNnvDCQjHKmttSEBsFQ/edit?usp=sharing"",""จัดที่ดิน!AE26"")"),4322.6)</f>
        <v>4322.6000000000004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IFERROR(__xludf.DUMMYFUNCTION("IMPORTRANGE(""https://docs.google.com/spreadsheets/d/1eHaY18a8A9IcSdp1K8H6x8fbOy06t2VsZHhMHf-1x7Y/edit?usp=sharing"",""แผน!EY26"")"),640)</f>
        <v>640</v>
      </c>
      <c r="J371" s="184">
        <f ca="1">IFERROR(__xludf.DUMMYFUNCTION("IMPORTRANGE(""https://docs.google.com/spreadsheets/d/1tdoBKaGub7dwA3U6UFTqxio9LNnvDCQjHKmttSEBsFQ/edit?usp=sharing"",""จัดที่ดิน!AF26"")"),681)</f>
        <v>681</v>
      </c>
      <c r="K371" s="224">
        <f ca="1">IF(I371&gt;0,J371*100/I371,0)</f>
        <v>106.40625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IFERROR(__xludf.DUMMYFUNCTION("IMPORTRANGE(""https://docs.google.com/spreadsheets/d/1tdoBKaGub7dwA3U6UFTqxio9LNnvDCQjHKmttSEBsFQ/edit?usp=sharing"",""จัดที่ดิน!AG26"")"),3908.69)</f>
        <v>3908.69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1143</v>
      </c>
      <c r="K374" s="659">
        <f ca="1">IF(I374&gt;0,J374*100/I374,0)</f>
        <v>57.15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44900</v>
      </c>
      <c r="M375" s="547">
        <f ca="1">M376+M377</f>
        <v>44900</v>
      </c>
      <c r="N375" s="547">
        <f ca="1">N376+N377</f>
        <v>44470.3</v>
      </c>
      <c r="O375" s="547">
        <f ca="1">IF(L375&gt;0,N375*100/L375,0)</f>
        <v>99.042984409799558</v>
      </c>
      <c r="P375" s="547">
        <f ca="1">IF(M375&gt;0,N375*100/M375,0)</f>
        <v>99.042984409799558</v>
      </c>
      <c r="Q375" s="547">
        <f ca="1">Q376+Q377</f>
        <v>125000</v>
      </c>
      <c r="R375" s="547">
        <f ca="1">R376+R377</f>
        <v>125000</v>
      </c>
      <c r="S375" s="547">
        <f ca="1">S376+S377</f>
        <v>66395.02</v>
      </c>
      <c r="T375" s="547">
        <f ca="1">IF(Q375&gt;0,S375*100/Q375,0)</f>
        <v>53.116016000000002</v>
      </c>
      <c r="U375" s="547">
        <f ca="1">IF(R375&gt;0,S375*100/R375,0)</f>
        <v>53.116016000000002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44900</v>
      </c>
      <c r="M377" s="224">
        <f ca="1">M380+M383</f>
        <v>44900</v>
      </c>
      <c r="N377" s="224">
        <f ca="1">N380+N383</f>
        <v>44470.3</v>
      </c>
      <c r="O377" s="224">
        <f ca="1">IF(L377&gt;0,N377*100/L377,0)</f>
        <v>99.042984409799558</v>
      </c>
      <c r="P377" s="224">
        <f ca="1">IF(M377&gt;0,N377*100/M377,0)</f>
        <v>99.042984409799558</v>
      </c>
      <c r="Q377" s="224">
        <f ca="1">Q380+Q383</f>
        <v>125000</v>
      </c>
      <c r="R377" s="224">
        <f ca="1">R380+R383</f>
        <v>125000</v>
      </c>
      <c r="S377" s="224">
        <f ca="1">S380+S383</f>
        <v>66395.02</v>
      </c>
      <c r="T377" s="224">
        <f ca="1">IF(Q377&gt;0,S377*100/Q377,0)</f>
        <v>53.116016000000002</v>
      </c>
      <c r="U377" s="224">
        <f ca="1">IF(R377&gt;0,S377*100/R377,0)</f>
        <v>53.116016000000002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44900</v>
      </c>
      <c r="M378" s="224">
        <f ca="1">M379+M380</f>
        <v>44900</v>
      </c>
      <c r="N378" s="224">
        <f ca="1">N379+N380</f>
        <v>44470.3</v>
      </c>
      <c r="O378" s="224">
        <f ca="1">IF(L378&gt;0,N378*100/L378,0)</f>
        <v>99.042984409799558</v>
      </c>
      <c r="P378" s="224">
        <f ca="1">IF(M378&gt;0,N378*100/M378,0)</f>
        <v>99.042984409799558</v>
      </c>
      <c r="Q378" s="224">
        <f ca="1">Q379+Q380</f>
        <v>125000</v>
      </c>
      <c r="R378" s="224">
        <f ca="1">R379+R380</f>
        <v>125000</v>
      </c>
      <c r="S378" s="224">
        <f ca="1">S379+S380</f>
        <v>66395.02</v>
      </c>
      <c r="T378" s="224">
        <f ca="1">IF(Q378&gt;0,S378*100/Q378,0)</f>
        <v>53.116016000000002</v>
      </c>
      <c r="U378" s="224">
        <f ca="1">IF(R378&gt;0,S378*100/R378,0)</f>
        <v>53.116016000000002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IFERROR(__xludf.DUMMYFUNCTION("IMPORTRANGE(""https://docs.google.com/spreadsheets/d/1-uDff_7J0KD5mKrp0Vvzr7lt3OU09vwQwhkpOPPYv2Y/edit?usp=sharing"",""งบพรบ!IE26"")"),44900)</f>
        <v>44900</v>
      </c>
      <c r="M380" s="224">
        <f ca="1">IFERROR(__xludf.DUMMYFUNCTION("IMPORTRANGE(""https://docs.google.com/spreadsheets/d/1-uDff_7J0KD5mKrp0Vvzr7lt3OU09vwQwhkpOPPYv2Y/edit?usp=sharing"",""งบพรบ!IJ26"")"),44900)</f>
        <v>44900</v>
      </c>
      <c r="N380" s="224">
        <f ca="1">IFERROR(__xludf.DUMMYFUNCTION("IMPORTRANGE(""https://docs.google.com/spreadsheets/d/1-uDff_7J0KD5mKrp0Vvzr7lt3OU09vwQwhkpOPPYv2Y/edit?usp=sharing"",""งบพรบ!IL26"")"),44470.3)</f>
        <v>44470.3</v>
      </c>
      <c r="O380" s="224">
        <f ca="1">IF(L380&gt;0,N380*100/L380,0)</f>
        <v>99.042984409799558</v>
      </c>
      <c r="P380" s="224">
        <f ca="1">IF(M380&gt;0,N380*100/M380,0)</f>
        <v>99.042984409799558</v>
      </c>
      <c r="Q380" s="224">
        <f ca="1">IFERROR(__xludf.DUMMYFUNCTION("IMPORTRANGE(""https://docs.google.com/spreadsheets/d/1ItG2mGa2ceCfYo0BwxsXqNm01IGEUdYcSSLTEv9YCik/edit?usp=sharing"",""เบิกจ่ายกองทุน!BW26"")"),125000)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IFERROR(__xludf.DUMMYFUNCTION("IMPORTRANGE(""https://docs.google.com/spreadsheets/d/1ItG2mGa2ceCfYo0BwxsXqNm01IGEUdYcSSLTEv9YCik/edit?usp=sharing"",""เบิกจ่ายกองทุน!BX26"")"),125000)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IFERROR(__xludf.DUMMYFUNCTION("IMPORTRANGE(""https://docs.google.com/spreadsheets/d/1ItG2mGa2ceCfYo0BwxsXqNm01IGEUdYcSSLTEv9YCik/edit?usp=sharing"",""เบิกจ่ายกองทุน!BY26"")"),66395.02)</f>
        <v>66395.02</v>
      </c>
      <c r="T380" s="224">
        <f ca="1">IF(Q380&gt;0,S380*100/Q380,0)</f>
        <v>53.116016000000002</v>
      </c>
      <c r="U380" s="224">
        <f ca="1">IF(R380&gt;0,S380*100/R380,0)</f>
        <v>53.116016000000002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IFERROR(__xludf.DUMMYFUNCTION("IMPORTRANGE(""https://docs.google.com/spreadsheets/d/1-uDff_7J0KD5mKrp0Vvzr7lt3OU09vwQwhkpOPPYv2Y/edit?usp=sharing"",""งบพรบ!IH26"")"),0)</f>
        <v>0</v>
      </c>
      <c r="M383" s="224">
        <f ca="1">IFERROR(__xludf.DUMMYFUNCTION("IMPORTRANGE(""https://docs.google.com/spreadsheets/d/1-uDff_7J0KD5mKrp0Vvzr7lt3OU09vwQwhkpOPPYv2Y/edit?usp=sharing"",""งบพรบ!IK26"")"),0)</f>
        <v>0</v>
      </c>
      <c r="N383" s="224">
        <f ca="1">IFERROR(__xludf.DUMMYFUNCTION("IMPORTRANGE(""https://docs.google.com/spreadsheets/d/1-uDff_7J0KD5mKrp0Vvzr7lt3OU09vwQwhkpOPPYv2Y/edit?usp=sharing"",""งบพรบ!IM26"")"),0)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IFERROR(__xludf.DUMMYFUNCTION("IMPORTRANGE(""https://docs.google.com/spreadsheets/d/1w5rwWK1o49a35cNtocGL0gxDwhFSTZUQu90BiH9_zqM/edit?usp=sharing"",""RTK!H26"")"),140)</f>
        <v>140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IFERROR(__xludf.DUMMYFUNCTION("IMPORTRANGE(""https://docs.google.com/spreadsheets/d/1w5rwWK1o49a35cNtocGL0gxDwhFSTZUQu90BiH9_zqM/edit?usp=sharing"",""RTK!G26"")"),2000)</f>
        <v>2000</v>
      </c>
      <c r="J386" s="184">
        <f ca="1">IFERROR(__xludf.DUMMYFUNCTION("IMPORTRANGE(""https://docs.google.com/spreadsheets/d/1w5rwWK1o49a35cNtocGL0gxDwhFSTZUQu90BiH9_zqM/edit?usp=sharing"",""RTK!I26"")"),1143)</f>
        <v>1143</v>
      </c>
      <c r="K386" s="224">
        <f ca="1">IF(I386&gt;0,J386*100/I386,0)</f>
        <v>57.15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IFERROR(__xludf.DUMMYFUNCTION("IMPORTRANGE(""https://docs.google.com/spreadsheets/d/1w5rwWK1o49a35cNtocGL0gxDwhFSTZUQu90BiH9_zqM/edit?usp=sharing"",""RTK!L26"")"),0)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IFERROR(__xludf.DUMMYFUNCTION("IMPORTRANGE(""https://docs.google.com/spreadsheets/d/1w5rwWK1o49a35cNtocGL0gxDwhFSTZUQu90BiH9_zqM/edit?usp=sharing"",""RTK!K26"")"),0)</f>
        <v>0</v>
      </c>
      <c r="J388" s="559">
        <f ca="1">IFERROR(__xludf.DUMMYFUNCTION("IMPORTRANGE(""https://docs.google.com/spreadsheets/d/1w5rwWK1o49a35cNtocGL0gxDwhFSTZUQu90BiH9_zqM/edit?usp=sharing"",""RTK!M26"")"),0)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IFERROR(__xludf.DUMMYFUNCTION("IMPORTRANGE(""https://docs.google.com/spreadsheets/d/1ItG2mGa2ceCfYo0BwxsXqNm01IGEUdYcSSLTEv9YCik/edit?usp=sharing"",""เบิกจ่ายกองทุน!CL26"")"),0)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IFERROR(__xludf.DUMMYFUNCTION("IMPORTRANGE(""https://docs.google.com/spreadsheets/d/1ItG2mGa2ceCfYo0BwxsXqNm01IGEUdYcSSLTEv9YCik/edit?usp=sharing"",""เบิกจ่ายกองทุน!CM26"")"),0)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IFERROR(__xludf.DUMMYFUNCTION("IMPORTRANGE(""https://docs.google.com/spreadsheets/d/1ItG2mGa2ceCfYo0BwxsXqNm01IGEUdYcSSLTEv9YCik/edit?usp=sharing"",""เบิกจ่ายกองทุน!CN26"")"),0)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21235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287060</v>
      </c>
      <c r="M413" s="547">
        <f ca="1">M414+M415</f>
        <v>287060</v>
      </c>
      <c r="N413" s="547">
        <f ca="1">N414+N415</f>
        <v>216091.36</v>
      </c>
      <c r="O413" s="547">
        <f ca="1">IF(L413&gt;0,N413*100/L413,0)</f>
        <v>75.277419354838713</v>
      </c>
      <c r="P413" s="547">
        <f ca="1">IF(M413&gt;0,N413*100/M413,0)</f>
        <v>75.277419354838713</v>
      </c>
      <c r="Q413" s="547">
        <f ca="1">Q414+Q415</f>
        <v>71960</v>
      </c>
      <c r="R413" s="547">
        <f ca="1">R414+R415</f>
        <v>71960</v>
      </c>
      <c r="S413" s="547">
        <f ca="1">S414+S415</f>
        <v>65072</v>
      </c>
      <c r="T413" s="547">
        <f ca="1">IF(Q413&gt;0,S413*100/Q413,0)</f>
        <v>90.42801556420234</v>
      </c>
      <c r="U413" s="547">
        <f ca="1">IF(R413&gt;0,S413*100/R413,0)</f>
        <v>90.42801556420234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287060</v>
      </c>
      <c r="M415" s="224">
        <f ca="1">M418+M421</f>
        <v>287060</v>
      </c>
      <c r="N415" s="224">
        <f ca="1">N418+N421</f>
        <v>216091.36</v>
      </c>
      <c r="O415" s="224">
        <f ca="1">IF(L415&gt;0,N415*100/L415,0)</f>
        <v>75.277419354838713</v>
      </c>
      <c r="P415" s="224">
        <f ca="1">IF(M415&gt;0,N415*100/M415,0)</f>
        <v>75.277419354838713</v>
      </c>
      <c r="Q415" s="224">
        <f ca="1">Q418+Q421</f>
        <v>71960</v>
      </c>
      <c r="R415" s="224">
        <f ca="1">R418+R421</f>
        <v>71960</v>
      </c>
      <c r="S415" s="224">
        <f ca="1">S418+S421</f>
        <v>65072</v>
      </c>
      <c r="T415" s="224">
        <f ca="1">IF(Q415&gt;0,S415*100/Q415,0)</f>
        <v>90.42801556420234</v>
      </c>
      <c r="U415" s="224">
        <f ca="1">IF(R415&gt;0,S415*100/R415,0)</f>
        <v>90.42801556420234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287060</v>
      </c>
      <c r="M416" s="224">
        <f ca="1">M417+M418</f>
        <v>287060</v>
      </c>
      <c r="N416" s="224">
        <f ca="1">N417+N418</f>
        <v>216091.36</v>
      </c>
      <c r="O416" s="224">
        <f ca="1">IF(L416&gt;0,N416*100/L416,0)</f>
        <v>75.277419354838713</v>
      </c>
      <c r="P416" s="224">
        <f ca="1">IF(M416&gt;0,N416*100/M416,0)</f>
        <v>75.277419354838713</v>
      </c>
      <c r="Q416" s="224">
        <f ca="1">Q417+Q418</f>
        <v>71960</v>
      </c>
      <c r="R416" s="224">
        <f ca="1">R417+R418</f>
        <v>71960</v>
      </c>
      <c r="S416" s="224">
        <f ca="1">S417+S418</f>
        <v>65072</v>
      </c>
      <c r="T416" s="224">
        <f ca="1">IF(Q416&gt;0,S416*100/Q416,0)</f>
        <v>90.42801556420234</v>
      </c>
      <c r="U416" s="224">
        <f ca="1">IF(R416&gt;0,S416*100/R416,0)</f>
        <v>90.42801556420234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IFERROR(__xludf.DUMMYFUNCTION("IMPORTRANGE(""https://docs.google.com/spreadsheets/d/1-uDff_7J0KD5mKrp0Vvzr7lt3OU09vwQwhkpOPPYv2Y/edit?usp=sharing"",""งบพรบ!IO26"")"),287060)</f>
        <v>287060</v>
      </c>
      <c r="M418" s="224">
        <f ca="1">IFERROR(__xludf.DUMMYFUNCTION("IMPORTRANGE(""https://docs.google.com/spreadsheets/d/1-uDff_7J0KD5mKrp0Vvzr7lt3OU09vwQwhkpOPPYv2Y/edit?usp=sharing"",""งบพรบ!IT26"")"),287060)</f>
        <v>287060</v>
      </c>
      <c r="N418" s="224">
        <f ca="1">IFERROR(__xludf.DUMMYFUNCTION("IMPORTRANGE(""https://docs.google.com/spreadsheets/d/1-uDff_7J0KD5mKrp0Vvzr7lt3OU09vwQwhkpOPPYv2Y/edit?usp=sharing"",""งบพรบ!IV26"")"),216091.36)</f>
        <v>216091.36</v>
      </c>
      <c r="O418" s="224">
        <f ca="1">IF(L418&gt;0,N418*100/L418,0)</f>
        <v>75.277419354838713</v>
      </c>
      <c r="P418" s="224">
        <f ca="1">IF(M418&gt;0,N418*100/M418,0)</f>
        <v>75.277419354838713</v>
      </c>
      <c r="Q418" s="224">
        <f ca="1">IFERROR(__xludf.DUMMYFUNCTION("IMPORTRANGE(""https://docs.google.com/spreadsheets/d/1ItG2mGa2ceCfYo0BwxsXqNm01IGEUdYcSSLTEv9YCik/edit?usp=sharing"",""เบิกจ่ายกองทุน!BZ26"")"),71960)</f>
        <v>71960</v>
      </c>
      <c r="R418" s="224">
        <f ca="1">IFERROR(__xludf.DUMMYFUNCTION("IMPORTRANGE(""https://docs.google.com/spreadsheets/d/1ItG2mGa2ceCfYo0BwxsXqNm01IGEUdYcSSLTEv9YCik/edit?usp=sharing"",""เบิกจ่ายกองทุน!CA26"")"),71960)</f>
        <v>71960</v>
      </c>
      <c r="S418" s="224">
        <f ca="1">IFERROR(__xludf.DUMMYFUNCTION("IMPORTRANGE(""https://docs.google.com/spreadsheets/d/1ItG2mGa2ceCfYo0BwxsXqNm01IGEUdYcSSLTEv9YCik/edit?usp=sharing"",""เบิกจ่ายกองทุน!CB26"")"),65072)</f>
        <v>65072</v>
      </c>
      <c r="T418" s="224">
        <f ca="1">IF(Q418&gt;0,S418*100/Q418,0)</f>
        <v>90.42801556420234</v>
      </c>
      <c r="U418" s="224">
        <f ca="1">IF(R418&gt;0,S418*100/R418,0)</f>
        <v>90.42801556420234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IFERROR(__xludf.DUMMYFUNCTION("IMPORTRANGE(""https://docs.google.com/spreadsheets/d/1-uDff_7J0KD5mKrp0Vvzr7lt3OU09vwQwhkpOPPYv2Y/edit?usp=sharing"",""งบพรบ!IR26"")"),0)</f>
        <v>0</v>
      </c>
      <c r="M421" s="224">
        <f ca="1">IFERROR(__xludf.DUMMYFUNCTION("IMPORTRANGE(""https://docs.google.com/spreadsheets/d/1-uDff_7J0KD5mKrp0Vvzr7lt3OU09vwQwhkpOPPYv2Y/edit?usp=sharing"",""งบพรบ!IU26"")"),0)</f>
        <v>0</v>
      </c>
      <c r="N421" s="224">
        <f ca="1">IFERROR(__xludf.DUMMYFUNCTION("IMPORTRANGE(""https://docs.google.com/spreadsheets/d/1-uDff_7J0KD5mKrp0Vvzr7lt3OU09vwQwhkpOPPYv2Y/edit?usp=sharing"",""งบพรบ!IW26"")"),0)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21235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IFERROR(__xludf.DUMMYFUNCTION("IMPORTRANGE(""https://docs.google.com/spreadsheets/d/1eHaY18a8A9IcSdp1K8H6x8fbOy06t2VsZHhMHf-1x7Y/edit?usp=sharing"",""แผน!HJ26"")"),21235)</f>
        <v>21235</v>
      </c>
      <c r="J424" s="650">
        <f>J426+J428+J430</f>
        <v>21235</v>
      </c>
      <c r="K424" s="547">
        <f ca="1">IF(I424&gt;0,J424*100/I424,0)</f>
        <v>100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IFERROR(__xludf.DUMMYFUNCTION("IMPORTRANGE(""https://docs.google.com/spreadsheets/d/1eHaY18a8A9IcSdp1K8H6x8fbOy06t2VsZHhMHf-1x7Y/edit?usp=sharing"",""แผน!HK26"")"),5413)</f>
        <v>5413</v>
      </c>
      <c r="J425" s="650">
        <f>J427+J429+J431</f>
        <v>5413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17516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4340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2389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768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1330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305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IFERROR(__xludf.DUMMYFUNCTION("IMPORTRANGE(""https://docs.google.com/spreadsheets/d/1eHaY18a8A9IcSdp1K8H6x8fbOy06t2VsZHhMHf-1x7Y/edit?usp=sharing"",""แผน!HJ26"")"),21235)</f>
        <v>21235</v>
      </c>
      <c r="J432" s="650">
        <f>J434+J436+J438</f>
        <v>21235.83</v>
      </c>
      <c r="K432" s="547">
        <f ca="1">IF(I432&gt;0,J432*100/I432,0)</f>
        <v>100.00390864139392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IFERROR(__xludf.DUMMYFUNCTION("IMPORTRANGE(""https://docs.google.com/spreadsheets/d/1eHaY18a8A9IcSdp1K8H6x8fbOy06t2VsZHhMHf-1x7Y/edit?usp=sharing"",""แผน!HK26"")"),5413)</f>
        <v>5413</v>
      </c>
      <c r="J433" s="650">
        <f>J435+J437+J439</f>
        <v>5413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18052.96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4475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1792.79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599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1390.08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339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IFERROR(__xludf.DUMMYFUNCTION("IMPORTRANGE(""https://docs.google.com/spreadsheets/d/1eHaY18a8A9IcSdp1K8H6x8fbOy06t2VsZHhMHf-1x7Y/edit?usp=sharing"",""แผน!HJ26"")"),21235)</f>
        <v>21235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IFERROR(__xludf.DUMMYFUNCTION("IMPORTRANGE(""https://docs.google.com/spreadsheets/d/1eHaY18a8A9IcSdp1K8H6x8fbOy06t2VsZHhMHf-1x7Y/edit?usp=sharing"",""แผน!HK26"")"),5413)</f>
        <v>5413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964.48</v>
      </c>
      <c r="J456" s="648">
        <f>J457</f>
        <v>478</v>
      </c>
      <c r="K456" s="578">
        <f ca="1">IF(I456&gt;0,J456*100/I456,0)</f>
        <v>49.560384870603848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IFERROR(__xludf.DUMMYFUNCTION("IMPORTRANGE(""https://docs.google.com/spreadsheets/d/1eHaY18a8A9IcSdp1K8H6x8fbOy06t2VsZHhMHf-1x7Y/edit?usp=sharing"",""แผน!HL26"")"),964.48)</f>
        <v>964.48</v>
      </c>
      <c r="J457" s="650">
        <f>J459+J467+J473</f>
        <v>478</v>
      </c>
      <c r="K457" s="547">
        <f ca="1">IF(I457&gt;0,J457*100/I457,0)</f>
        <v>49.560384870603848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IFERROR(__xludf.DUMMYFUNCTION("IMPORTRANGE(""https://docs.google.com/spreadsheets/d/1eHaY18a8A9IcSdp1K8H6x8fbOy06t2VsZHhMHf-1x7Y/edit?usp=sharing"",""แผน!HM26"")"),146)</f>
        <v>146</v>
      </c>
      <c r="J458" s="650">
        <f>J460+J468+J474</f>
        <v>73</v>
      </c>
      <c r="K458" s="547">
        <f ca="1">IF(I458&gt;0,J458*100/I458,0)</f>
        <v>50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444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70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416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68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28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2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3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1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3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31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2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IFERROR(__xludf.DUMMYFUNCTION("IMPORTRANGE(""https://docs.google.com/spreadsheets/d/1-uDff_7J0KD5mKrp0Vvzr7lt3OU09vwQwhkpOPPYv2Y/edit?usp=sharing"",""งบพรบ!HU26"")"),0)</f>
        <v>0</v>
      </c>
      <c r="M498" s="224">
        <f ca="1">IFERROR(__xludf.DUMMYFUNCTION("IMPORTRANGE(""https://docs.google.com/spreadsheets/d/1-uDff_7J0KD5mKrp0Vvzr7lt3OU09vwQwhkpOPPYv2Y/edit?usp=sharing"",""งบพรบ!HZ26"")"),0)</f>
        <v>0</v>
      </c>
      <c r="N498" s="224">
        <f ca="1">IFERROR(__xludf.DUMMYFUNCTION("IMPORTRANGE(""https://docs.google.com/spreadsheets/d/1-uDff_7J0KD5mKrp0Vvzr7lt3OU09vwQwhkpOPPYv2Y/edit?usp=sharing"",""งบพรบ!IB26"")"),0)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IFERROR(__xludf.DUMMYFUNCTION("IMPORTRANGE(""https://docs.google.com/spreadsheets/d/1ItG2mGa2ceCfYo0BwxsXqNm01IGEUdYcSSLTEv9YCik/edit?usp=sharing"",""เบิกจ่ายกองทุน!AF26"")"),0)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IFERROR(__xludf.DUMMYFUNCTION("IMPORTRANGE(""https://docs.google.com/spreadsheets/d/1-uDff_7J0KD5mKrp0Vvzr7lt3OU09vwQwhkpOPPYv2Y/edit?usp=sharing"",""งบพรบ!HX26"")"),0)</f>
        <v>0</v>
      </c>
      <c r="M501" s="224">
        <f ca="1">IFERROR(__xludf.DUMMYFUNCTION("IMPORTRANGE(""https://docs.google.com/spreadsheets/d/1-uDff_7J0KD5mKrp0Vvzr7lt3OU09vwQwhkpOPPYv2Y/edit?usp=sharing"",""งบพรบ!IA26"")"),0)</f>
        <v>0</v>
      </c>
      <c r="N501" s="224">
        <f ca="1">IFERROR(__xludf.DUMMYFUNCTION("IMPORTRANGE(""https://docs.google.com/spreadsheets/d/1-uDff_7J0KD5mKrp0Vvzr7lt3OU09vwQwhkpOPPYv2Y/edit?usp=sharing"",""งบพรบ!IC26"")"),0)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IFERROR(__xludf.DUMMYFUNCTION("IMPORTRANGE(""https://docs.google.com/spreadsheets/d/1eHaY18a8A9IcSdp1K8H6x8fbOy06t2VsZHhMHf-1x7Y/edit?usp=sharing"",""แผน!GX26"")"),0)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IFERROR(__xludf.DUMMYFUNCTION("IMPORTRANGE(""https://docs.google.com/spreadsheets/d/1eHaY18a8A9IcSdp1K8H6x8fbOy06t2VsZHhMHf-1x7Y/edit?usp=sharing"",""แผน!GY26"")"),0)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IFERROR(__xludf.DUMMYFUNCTION("IMPORTRANGE(""https://docs.google.com/spreadsheets/d/1eHaY18a8A9IcSdp1K8H6x8fbOy06t2VsZHhMHf-1x7Y/edit?usp=sharing"",""แผน!GZ26"")"),0)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IFERROR(__xludf.DUMMYFUNCTION("IMPORTRANGE(""https://docs.google.com/spreadsheets/d/1eHaY18a8A9IcSdp1K8H6x8fbOy06t2VsZHhMHf-1x7Y/edit?usp=sharing"",""แผน!HA26"")"),0)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IFERROR(__xludf.DUMMYFUNCTION("IMPORTRANGE(""https://docs.google.com/spreadsheets/d/1eHaY18a8A9IcSdp1K8H6x8fbOy06t2VsZHhMHf-1x7Y/edit?usp=sharing"",""แผน!HB26"")"),0)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IFERROR(__xludf.DUMMYFUNCTION("IMPORTRANGE(""https://docs.google.com/spreadsheets/d/1eHaY18a8A9IcSdp1K8H6x8fbOy06t2VsZHhMHf-1x7Y/edit?usp=sharing"",""แผน!HC26"")"),0)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IFERROR(__xludf.DUMMYFUNCTION("IMPORTRANGE(""https://docs.google.com/spreadsheets/d/1-uDff_7J0KD5mKrp0Vvzr7lt3OU09vwQwhkpOPPYv2Y/edit?usp=sharing"",""งบพรบ!FM26"")"),0)</f>
        <v>0</v>
      </c>
      <c r="M518" s="224">
        <f ca="1">IFERROR(__xludf.DUMMYFUNCTION("IMPORTRANGE(""https://docs.google.com/spreadsheets/d/1-uDff_7J0KD5mKrp0Vvzr7lt3OU09vwQwhkpOPPYv2Y/edit?usp=sharing"",""งบพรบ!FR26"")"),0)</f>
        <v>0</v>
      </c>
      <c r="N518" s="224">
        <f ca="1">IFERROR(__xludf.DUMMYFUNCTION("IMPORTRANGE(""https://docs.google.com/spreadsheets/d/1-uDff_7J0KD5mKrp0Vvzr7lt3OU09vwQwhkpOPPYv2Y/edit?usp=sharing"",""งบพรบ!FT26"")"),0)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IFERROR(__xludf.DUMMYFUNCTION("IMPORTRANGE(""https://docs.google.com/spreadsheets/d/1-uDff_7J0KD5mKrp0Vvzr7lt3OU09vwQwhkpOPPYv2Y/edit?usp=sharing"",""งบพรบ!FP26"")"),0)</f>
        <v>0</v>
      </c>
      <c r="M521" s="224">
        <f ca="1">IFERROR(__xludf.DUMMYFUNCTION("IMPORTRANGE(""https://docs.google.com/spreadsheets/d/1-uDff_7J0KD5mKrp0Vvzr7lt3OU09vwQwhkpOPPYv2Y/edit?usp=sharing"",""งบพรบ!FS26"")"),0)</f>
        <v>0</v>
      </c>
      <c r="N521" s="224">
        <f ca="1">IFERROR(__xludf.DUMMYFUNCTION("IMPORTRANGE(""https://docs.google.com/spreadsheets/d/1-uDff_7J0KD5mKrp0Vvzr7lt3OU09vwQwhkpOPPYv2Y/edit?usp=sharing"",""งบพรบ!FU26"")"),0)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1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290000</v>
      </c>
      <c r="M534" s="547">
        <f ca="1">M535+M536</f>
        <v>290000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290000</v>
      </c>
      <c r="M536" s="224">
        <f ca="1">M539+M542</f>
        <v>290000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IFERROR(__xludf.DUMMYFUNCTION("IMPORTRANGE(""https://docs.google.com/spreadsheets/d/1-uDff_7J0KD5mKrp0Vvzr7lt3OU09vwQwhkpOPPYv2Y/edit?usp=sharing"",""งบพรบ!FW26"")"),0)</f>
        <v>0</v>
      </c>
      <c r="M539" s="224">
        <f ca="1">IFERROR(__xludf.DUMMYFUNCTION("IMPORTRANGE(""https://docs.google.com/spreadsheets/d/1-uDff_7J0KD5mKrp0Vvzr7lt3OU09vwQwhkpOPPYv2Y/edit?usp=sharing"",""งบพรบ!GB26"")"),0)</f>
        <v>0</v>
      </c>
      <c r="N539" s="224">
        <f ca="1">IFERROR(__xludf.DUMMYFUNCTION("IMPORTRANGE(""https://docs.google.com/spreadsheets/d/1-uDff_7J0KD5mKrp0Vvzr7lt3OU09vwQwhkpOPPYv2Y/edit?usp=sharing"",""งบพรบ!GD26"")"),0)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290000</v>
      </c>
      <c r="M540" s="224">
        <f ca="1">M541+M542</f>
        <v>290000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IFERROR(__xludf.DUMMYFUNCTION("IMPORTRANGE(""https://docs.google.com/spreadsheets/d/1-uDff_7J0KD5mKrp0Vvzr7lt3OU09vwQwhkpOPPYv2Y/edit?usp=sharing"",""งบพรบ!FZ26"")"),290000)</f>
        <v>290000</v>
      </c>
      <c r="M542" s="224">
        <f ca="1">IFERROR(__xludf.DUMMYFUNCTION("IMPORTRANGE(""https://docs.google.com/spreadsheets/d/1-uDff_7J0KD5mKrp0Vvzr7lt3OU09vwQwhkpOPPYv2Y/edit?usp=sharing"",""งบพรบ!GC26"")"),290000)</f>
        <v>290000</v>
      </c>
      <c r="N542" s="224">
        <f ca="1">IFERROR(__xludf.DUMMYFUNCTION("IMPORTRANGE(""https://docs.google.com/spreadsheets/d/1-uDff_7J0KD5mKrp0Vvzr7lt3OU09vwQwhkpOPPYv2Y/edit?usp=sharing"",""งบพรบ!GE26"")"),0)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06"/>
      <c r="B544" s="307"/>
      <c r="C544" s="308"/>
      <c r="D544" s="309" t="s">
        <v>213</v>
      </c>
      <c r="E544" s="308"/>
      <c r="F544" s="307"/>
      <c r="G544" s="310"/>
      <c r="H544" s="375" t="s">
        <v>61</v>
      </c>
      <c r="I544" s="313">
        <v>1</v>
      </c>
      <c r="J544" s="377">
        <v>0</v>
      </c>
      <c r="K544" s="376">
        <f>IF(I544&gt;0,J544*100/I544,0)</f>
        <v>0</v>
      </c>
      <c r="L544" s="314"/>
      <c r="M544" s="314"/>
      <c r="N544" s="314"/>
      <c r="O544" s="314"/>
      <c r="P544" s="314"/>
      <c r="Q544" s="314"/>
      <c r="R544" s="314"/>
      <c r="S544" s="314"/>
      <c r="T544" s="314"/>
      <c r="U544" s="314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IFERROR(__xludf.DUMMYFUNCTION("IMPORTRANGE(""https://docs.google.com/spreadsheets/d/1-uDff_7J0KD5mKrp0Vvzr7lt3OU09vwQwhkpOPPYv2Y/edit?usp=sharing"",""งบพรบ!GG26"")"),0)</f>
        <v>0</v>
      </c>
      <c r="M560" s="224">
        <f ca="1">IFERROR(__xludf.DUMMYFUNCTION("IMPORTRANGE(""https://docs.google.com/spreadsheets/d/1-uDff_7J0KD5mKrp0Vvzr7lt3OU09vwQwhkpOPPYv2Y/edit?usp=sharing"",""งบพรบ!GL26"")"),0)</f>
        <v>0</v>
      </c>
      <c r="N560" s="224">
        <f ca="1">IFERROR(__xludf.DUMMYFUNCTION("IMPORTRANGE(""https://docs.google.com/spreadsheets/d/1-uDff_7J0KD5mKrp0Vvzr7lt3OU09vwQwhkpOPPYv2Y/edit?usp=sharing"",""งบพรบ!GN26"")"),0)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IFERROR(__xludf.DUMMYFUNCTION("IMPORTRANGE(""https://docs.google.com/spreadsheets/d/1-uDff_7J0KD5mKrp0Vvzr7lt3OU09vwQwhkpOPPYv2Y/edit?usp=sharing"",""งบพรบ!GJ26"")"),0)</f>
        <v>0</v>
      </c>
      <c r="M563" s="224">
        <f ca="1">IFERROR(__xludf.DUMMYFUNCTION("IMPORTRANGE(""https://docs.google.com/spreadsheets/d/1-uDff_7J0KD5mKrp0Vvzr7lt3OU09vwQwhkpOPPYv2Y/edit?usp=sharing"",""งบพรบ!GM26"")"),0)</f>
        <v>0</v>
      </c>
      <c r="N563" s="224">
        <f ca="1">IFERROR(__xludf.DUMMYFUNCTION("IMPORTRANGE(""https://docs.google.com/spreadsheets/d/1-uDff_7J0KD5mKrp0Vvzr7lt3OU09vwQwhkpOPPYv2Y/edit?usp=sharing"",""งบพรบ!GO26"")"),0)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10</v>
      </c>
      <c r="J575" s="365">
        <f>J587</f>
        <v>10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569170</v>
      </c>
      <c r="M576" s="547">
        <f ca="1">M577+M578</f>
        <v>491173</v>
      </c>
      <c r="N576" s="547">
        <f ca="1">N577+N578</f>
        <v>435358</v>
      </c>
      <c r="O576" s="547">
        <f ca="1">IF(L576&gt;0,N576*100/L576,0)</f>
        <v>76.489976632640506</v>
      </c>
      <c r="P576" s="547">
        <f ca="1">IF(M576&gt;0,N576*100/M576,0)</f>
        <v>88.636386772074204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569170</v>
      </c>
      <c r="M578" s="224">
        <f ca="1">M581+M584</f>
        <v>491173</v>
      </c>
      <c r="N578" s="224">
        <f ca="1">N581+N584</f>
        <v>435358</v>
      </c>
      <c r="O578" s="224">
        <f ca="1">IF(L578&gt;0,N578*100/L578,0)</f>
        <v>76.489976632640506</v>
      </c>
      <c r="P578" s="224">
        <f ca="1">IF(M578&gt;0,N578*100/M578,0)</f>
        <v>88.636386772074204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569170</v>
      </c>
      <c r="M579" s="224">
        <f ca="1">M580+M581</f>
        <v>491173</v>
      </c>
      <c r="N579" s="224">
        <f ca="1">N580+N581</f>
        <v>435358</v>
      </c>
      <c r="O579" s="224">
        <f ca="1">IF(L579&gt;0,N579*100/L579,0)</f>
        <v>76.489976632640506</v>
      </c>
      <c r="P579" s="224">
        <f ca="1">IF(M579&gt;0,N579*100/M579,0)</f>
        <v>88.636386772074204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IFERROR(__xludf.DUMMYFUNCTION("IMPORTRANGE(""https://docs.google.com/spreadsheets/d/1-uDff_7J0KD5mKrp0Vvzr7lt3OU09vwQwhkpOPPYv2Y/edit?usp=sharing"",""งบพรบ!GQ26"")"),569170)</f>
        <v>569170</v>
      </c>
      <c r="M581" s="224">
        <f ca="1">IFERROR(__xludf.DUMMYFUNCTION("IMPORTRANGE(""https://docs.google.com/spreadsheets/d/1-uDff_7J0KD5mKrp0Vvzr7lt3OU09vwQwhkpOPPYv2Y/edit?usp=sharing"",""งบพรบ!GV26"")"),491173)</f>
        <v>491173</v>
      </c>
      <c r="N581" s="224">
        <f ca="1">IFERROR(__xludf.DUMMYFUNCTION("IMPORTRANGE(""https://docs.google.com/spreadsheets/d/1-uDff_7J0KD5mKrp0Vvzr7lt3OU09vwQwhkpOPPYv2Y/edit?usp=sharing"",""งบพรบ!GX26"")"),435358)</f>
        <v>435358</v>
      </c>
      <c r="O581" s="224">
        <f ca="1">IF(L581&gt;0,N581*100/L581,0)</f>
        <v>76.489976632640506</v>
      </c>
      <c r="P581" s="224">
        <f ca="1">IF(M581&gt;0,N581*100/M581,0)</f>
        <v>88.636386772074204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IFERROR(__xludf.DUMMYFUNCTION("IMPORTRANGE(""https://docs.google.com/spreadsheets/d/1-uDff_7J0KD5mKrp0Vvzr7lt3OU09vwQwhkpOPPYv2Y/edit?usp=sharing"",""งบพรบ!GT26"")"),0)</f>
        <v>0</v>
      </c>
      <c r="M584" s="224">
        <f ca="1">IFERROR(__xludf.DUMMYFUNCTION("IMPORTRANGE(""https://docs.google.com/spreadsheets/d/1-uDff_7J0KD5mKrp0Vvzr7lt3OU09vwQwhkpOPPYv2Y/edit?usp=sharing"",""งบพรบ!GW26"")"),0)</f>
        <v>0</v>
      </c>
      <c r="N584" s="224">
        <f ca="1">IFERROR(__xludf.DUMMYFUNCTION("IMPORTRANGE(""https://docs.google.com/spreadsheets/d/1-uDff_7J0KD5mKrp0Vvzr7lt3OU09vwQwhkpOPPYv2Y/edit?usp=sharing"",""งบพรบ!GY26"")"),0)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3</v>
      </c>
      <c r="K586" s="376">
        <f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10</v>
      </c>
      <c r="J587" s="380">
        <v>10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9996</v>
      </c>
      <c r="M599" s="715">
        <f ca="1">M600+M601</f>
        <v>9996</v>
      </c>
      <c r="N599" s="715">
        <f ca="1">N600+N601</f>
        <v>1890</v>
      </c>
      <c r="O599" s="715">
        <f ca="1">IF(L599&gt;0,N599*100/L599,0)</f>
        <v>18.907563025210084</v>
      </c>
      <c r="P599" s="715">
        <f ca="1">IF(M599&gt;0,N599*100/M599,0)</f>
        <v>18.907563025210084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9996</v>
      </c>
      <c r="M601" s="558">
        <f ca="1">M604+M607</f>
        <v>9996</v>
      </c>
      <c r="N601" s="558">
        <f ca="1">N604+N607</f>
        <v>1890</v>
      </c>
      <c r="O601" s="558">
        <f ca="1">IF(L601&gt;0,N601*100/L601,0)</f>
        <v>18.907563025210084</v>
      </c>
      <c r="P601" s="558">
        <f ca="1">IF(M601&gt;0,N601*100/M601,0)</f>
        <v>18.907563025210084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9996</v>
      </c>
      <c r="M602" s="558">
        <f ca="1">M603+M604</f>
        <v>9996</v>
      </c>
      <c r="N602" s="558">
        <f ca="1">N603+N604</f>
        <v>1890</v>
      </c>
      <c r="O602" s="558">
        <f ca="1">IF(L602&gt;0,N602*100/L602,0)</f>
        <v>18.907563025210084</v>
      </c>
      <c r="P602" s="558">
        <f ca="1">IF(M602&gt;0,N602*100/M602,0)</f>
        <v>18.907563025210084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IFERROR(__xludf.DUMMYFUNCTION("IMPORTRANGE(""https://docs.google.com/spreadsheets/d/1-uDff_7J0KD5mKrp0Vvzr7lt3OU09vwQwhkpOPPYv2Y/edit?usp=sharing"",""งบพรบ!HK26"")"),9996)</f>
        <v>9996</v>
      </c>
      <c r="M604" s="558">
        <f ca="1">IFERROR(__xludf.DUMMYFUNCTION("IMPORTRANGE(""https://docs.google.com/spreadsheets/d/1-uDff_7J0KD5mKrp0Vvzr7lt3OU09vwQwhkpOPPYv2Y/edit?usp=sharing"",""งบพรบ!HP26"")"),9996)</f>
        <v>9996</v>
      </c>
      <c r="N604" s="558">
        <f ca="1">IFERROR(__xludf.DUMMYFUNCTION("IMPORTRANGE(""https://docs.google.com/spreadsheets/d/1-uDff_7J0KD5mKrp0Vvzr7lt3OU09vwQwhkpOPPYv2Y/edit?usp=sharing"",""งบพรบ!HR26"")"),1890)</f>
        <v>1890</v>
      </c>
      <c r="O604" s="558">
        <f ca="1">IF(L604&gt;0,N604*100/L604,0)</f>
        <v>18.907563025210084</v>
      </c>
      <c r="P604" s="558">
        <f ca="1">IF(M604&gt;0,N604*100/M604,0)</f>
        <v>18.907563025210084</v>
      </c>
      <c r="Q604" s="558">
        <f ca="1">IFERROR(__xludf.DUMMYFUNCTION("IMPORTRANGE(""https://docs.google.com/spreadsheets/d/1ItG2mGa2ceCfYo0BwxsXqNm01IGEUdYcSSLTEv9YCik/edit?usp=sharing"",""เบิกจ่ายกองทุน!AV26"")"),0)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IFERROR(__xludf.DUMMYFUNCTION("IMPORTRANGE(""https://docs.google.com/spreadsheets/d/1ItG2mGa2ceCfYo0BwxsXqNm01IGEUdYcSSLTEv9YCik/edit?usp=sharing"",""เบิกจ่ายกองทุน!AW26"")"),0)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IFERROR(__xludf.DUMMYFUNCTION("IMPORTRANGE(""https://docs.google.com/spreadsheets/d/1ItG2mGa2ceCfYo0BwxsXqNm01IGEUdYcSSLTEv9YCik/edit?usp=sharing"",""เบิกจ่ายกองทุน!AX26"")"),0)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IFERROR(__xludf.DUMMYFUNCTION("IMPORTRANGE(""https://docs.google.com/spreadsheets/d/1-uDff_7J0KD5mKrp0Vvzr7lt3OU09vwQwhkpOPPYv2Y/edit?usp=sharing"",""งบพรบ!HN26"")"),0)</f>
        <v>0</v>
      </c>
      <c r="M607" s="558">
        <f ca="1">IFERROR(__xludf.DUMMYFUNCTION("IMPORTRANGE(""https://docs.google.com/spreadsheets/d/1-uDff_7J0KD5mKrp0Vvzr7lt3OU09vwQwhkpOPPYv2Y/edit?usp=sharing"",""งบพรบ!HQ26"")"),0)</f>
        <v>0</v>
      </c>
      <c r="N607" s="558">
        <f ca="1">IFERROR(__xludf.DUMMYFUNCTION("IMPORTRANGE(""https://docs.google.com/spreadsheets/d/1-uDff_7J0KD5mKrp0Vvzr7lt3OU09vwQwhkpOPPYv2Y/edit?usp=sharing"",""งบพรบ!HS26"")"),0)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IFERROR(__xludf.DUMMYFUNCTION("IMPORTRANGE(""https://docs.google.com/spreadsheets/d/1ItG2mGa2ceCfYo0BwxsXqNm01IGEUdYcSSLTEv9YCik/edit?usp=sharing"",""เบิกจ่ายกองทุน!AY26"")"),0)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IFERROR(__xludf.DUMMYFUNCTION("IMPORTRANGE(""https://docs.google.com/spreadsheets/d/1ItG2mGa2ceCfYo0BwxsXqNm01IGEUdYcSSLTEv9YCik/edit?usp=sharing"",""เบิกจ่ายกองทุน!AZ26"")"),0)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IFERROR(__xludf.DUMMYFUNCTION("IMPORTRANGE(""https://docs.google.com/spreadsheets/d/1ItG2mGa2ceCfYo0BwxsXqNm01IGEUdYcSSLTEv9YCik/edit?usp=sharing"",""เบิกจ่ายกองทุน!BA26"")"),0)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374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6825</v>
      </c>
      <c r="R616" s="547">
        <f ca="1">R617+R618</f>
        <v>6825</v>
      </c>
      <c r="S616" s="547">
        <f ca="1">S617+S618</f>
        <v>1000</v>
      </c>
      <c r="T616" s="547">
        <f ca="1">IF(Q616&gt;0,S616*100/Q616,0)</f>
        <v>14.652014652014651</v>
      </c>
      <c r="U616" s="547">
        <f ca="1">IF(R616&gt;0,S616*100/R616,0)</f>
        <v>14.652014652014651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6825</v>
      </c>
      <c r="R618" s="224">
        <f ca="1">R621+R624</f>
        <v>6825</v>
      </c>
      <c r="S618" s="224">
        <f ca="1">S621+S624</f>
        <v>1000</v>
      </c>
      <c r="T618" s="224">
        <f ca="1">IF(Q618&gt;0,S618*100/Q618,0)</f>
        <v>14.652014652014651</v>
      </c>
      <c r="U618" s="224">
        <f ca="1">IF(R618&gt;0,S618*100/R618,0)</f>
        <v>14.652014652014651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6825</v>
      </c>
      <c r="R619" s="224">
        <f ca="1">R620+R621</f>
        <v>6825</v>
      </c>
      <c r="S619" s="224">
        <f ca="1">S620+S621</f>
        <v>1000</v>
      </c>
      <c r="T619" s="224">
        <f ca="1">IF(Q619&gt;0,S619*100/Q619,0)</f>
        <v>14.652014652014651</v>
      </c>
      <c r="U619" s="224">
        <f ca="1">IF(R619&gt;0,S619*100/R619,0)</f>
        <v>14.652014652014651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IFERROR(__xludf.DUMMYFUNCTION("IMPORTRANGE(""https://docs.google.com/spreadsheets/d/1ItG2mGa2ceCfYo0BwxsXqNm01IGEUdYcSSLTEv9YCik/edit?usp=sharing"",""เบิกจ่ายกองทุน!F26"")"),6825)</f>
        <v>6825</v>
      </c>
      <c r="R621" s="224">
        <f ca="1">IFERROR(__xludf.DUMMYFUNCTION("IMPORTRANGE(""https://docs.google.com/spreadsheets/d/1ItG2mGa2ceCfYo0BwxsXqNm01IGEUdYcSSLTEv9YCik/edit?usp=sharing"",""เบิกจ่ายกองทุน!G26"")"),6825)</f>
        <v>6825</v>
      </c>
      <c r="S621" s="224">
        <f ca="1">IFERROR(__xludf.DUMMYFUNCTION("IMPORTRANGE(""https://docs.google.com/spreadsheets/d/1ItG2mGa2ceCfYo0BwxsXqNm01IGEUdYcSSLTEv9YCik/edit?usp=sharing"",""เบิกจ่ายกองทุน!H26"")"),1000)</f>
        <v>1000</v>
      </c>
      <c r="T621" s="224">
        <f ca="1">IF(Q621&gt;0,S621*100/Q621,0)</f>
        <v>14.652014652014651</v>
      </c>
      <c r="U621" s="224">
        <f ca="1">IF(R621&gt;0,S621*100/R621,0)</f>
        <v>14.652014652014651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IFERROR(__xludf.DUMMYFUNCTION("IMPORTRANGE(""https://docs.google.com/spreadsheets/d/1eHaY18a8A9IcSdp1K8H6x8fbOy06t2VsZHhMHf-1x7Y/edit?usp=sharing"",""แผน!ID26"")"),50)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IFERROR(__xludf.DUMMYFUNCTION("IMPORTRANGE(""https://docs.google.com/spreadsheets/d/1eHaY18a8A9IcSdp1K8H6x8fbOy06t2VsZHhMHf-1x7Y/edit?usp=sharing"",""แผน!IC26"")"),0)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IFERROR(__xludf.DUMMYFUNCTION("IMPORTRANGE(""https://docs.google.com/spreadsheets/d/1eHaY18a8A9IcSdp1K8H6x8fbOy06t2VsZHhMHf-1x7Y/edit?usp=sharing"",""แผน!IC26"")"),0)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IFERROR(__xludf.DUMMYFUNCTION("IMPORTRANGE(""https://docs.google.com/spreadsheets/d/1eHaY18a8A9IcSdp1K8H6x8fbOy06t2VsZHhMHf-1x7Y/edit?usp=sharing"",""แผน!IE26"")"),0)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IFERROR(__xludf.DUMMYFUNCTION("IMPORTRANGE(""https://docs.google.com/spreadsheets/d/1ItG2mGa2ceCfYo0BwxsXqNm01IGEUdYcSSLTEv9YCik/edit?usp=sharing"",""เบิกจ่ายกองทุน!I26"")"),0)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IFERROR(__xludf.DUMMYFUNCTION("IMPORTRANGE(""https://docs.google.com/spreadsheets/d/1ItG2mGa2ceCfYo0BwxsXqNm01IGEUdYcSSLTEv9YCik/edit?usp=sharing"",""เบิกจ่ายกองทุน!J26"")"),0)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IFERROR(__xludf.DUMMYFUNCTION("IMPORTRANGE(""https://docs.google.com/spreadsheets/d/1ItG2mGa2ceCfYo0BwxsXqNm01IGEUdYcSSLTEv9YCik/edit?usp=sharing"",""เบิกจ่ายกองทุน!K26"")"),0)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IFERROR(__xludf.DUMMYFUNCTION("IMPORTRANGE(""https://docs.google.com/spreadsheets/d/1eHaY18a8A9IcSdp1K8H6x8fbOy06t2VsZHhMHf-1x7Y/edit?usp=sharing"",""แผน!IF26"")"),0)</f>
        <v>0</v>
      </c>
      <c r="J652" s="184">
        <f ca="1">IFERROR(__xludf.DUMMYFUNCTION("IMPORTRANGE(""https://docs.google.com/spreadsheets/d/1tdoBKaGub7dwA3U6UFTqxio9LNnvDCQjHKmttSEBsFQ/edit?usp=sharing"",""จัดที่ดิน!AU26"")"),0)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IFERROR(__xludf.DUMMYFUNCTION("IMPORTRANGE(""https://docs.google.com/spreadsheets/d/1eHaY18a8A9IcSdp1K8H6x8fbOy06t2VsZHhMHf-1x7Y/edit?usp=sharing"",""แผน!IG26"")"),0)</f>
        <v>0</v>
      </c>
      <c r="J653" s="184">
        <f ca="1">IFERROR(__xludf.DUMMYFUNCTION("IMPORTRANGE(""https://docs.google.com/spreadsheets/d/1tdoBKaGub7dwA3U6UFTqxio9LNnvDCQjHKmttSEBsFQ/edit?usp=sharing"",""จัดที่ดิน!AW26"")"),0)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IFERROR(__xludf.DUMMYFUNCTION("IMPORTRANGE(""https://docs.google.com/spreadsheets/d/1eHaY18a8A9IcSdp1K8H6x8fbOy06t2VsZHhMHf-1x7Y/edit?usp=sharing"",""แผน!IH26"")"),0)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IFERROR(__xludf.DUMMYFUNCTION("IMPORTRANGE(""https://docs.google.com/spreadsheets/d/1eHaY18a8A9IcSdp1K8H6x8fbOy06t2VsZHhMHf-1x7Y/edit?usp=sharing"",""แผน!II26"")"),0)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IFERROR(__xludf.DUMMYFUNCTION("IMPORTRANGE(""https://docs.google.com/spreadsheets/d/1eHaY18a8A9IcSdp1K8H6x8fbOy06t2VsZHhMHf-1x7Y/edit?usp=sharing"",""แผน!IJ26"")"),0)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IFERROR(__xludf.DUMMYFUNCTION("IMPORTRANGE(""https://docs.google.com/spreadsheets/d/1eHaY18a8A9IcSdp1K8H6x8fbOy06t2VsZHhMHf-1x7Y/edit?usp=sharing"",""แผน!IK26"")"),0)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IFERROR(__xludf.DUMMYFUNCTION("IMPORTRANGE(""https://docs.google.com/spreadsheets/d/1tdoBKaGub7dwA3U6UFTqxio9LNnvDCQjHKmttSEBsFQ/edit?usp=sharing"",""จัดที่ดิน!AY26"")"),0)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IFERROR(__xludf.DUMMYFUNCTION("IMPORTRANGE(""https://docs.google.com/spreadsheets/d/1tdoBKaGub7dwA3U6UFTqxio9LNnvDCQjHKmttSEBsFQ/edit?usp=sharing"",""จัดที่ดิน!AZ26"")"),0)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IFERROR(__xludf.DUMMYFUNCTION("IMPORTRANGE(""https://docs.google.com/spreadsheets/d/1eHaY18a8A9IcSdp1K8H6x8fbOy06t2VsZHhMHf-1x7Y/edit?usp=sharing"",""แผน!IL26"")"),0)</f>
        <v>0</v>
      </c>
      <c r="J673" s="184">
        <f ca="1">IFERROR(__xludf.DUMMYFUNCTION("IMPORTRANGE(""https://docs.google.com/spreadsheets/d/1tdoBKaGub7dwA3U6UFTqxio9LNnvDCQjHKmttSEBsFQ/edit?usp=sharing"",""จัดที่ดิน!BA26"")"),0)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IFERROR(__xludf.DUMMYFUNCTION("IMPORTRANGE(""https://docs.google.com/spreadsheets/d/1eHaY18a8A9IcSdp1K8H6x8fbOy06t2VsZHhMHf-1x7Y/edit?usp=sharing"",""แผน!IM26"")"),0)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IFERROR(__xludf.DUMMYFUNCTION("IMPORTRANGE(""https://docs.google.com/spreadsheets/d/1eHaY18a8A9IcSdp1K8H6x8fbOy06t2VsZHhMHf-1x7Y/edit?usp=sharing"",""แผน!IN26"")"),0)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IFERROR(__xludf.DUMMYFUNCTION("IMPORTRANGE(""https://docs.google.com/spreadsheets/d/1eHaY18a8A9IcSdp1K8H6x8fbOy06t2VsZHhMHf-1x7Y/edit?usp=sharing"",""แผน!IO26"")"),0)</f>
        <v>0</v>
      </c>
      <c r="J676" s="184">
        <f ca="1">IFERROR(__xludf.DUMMYFUNCTION("IMPORTRANGE(""https://docs.google.com/spreadsheets/d/1tdoBKaGub7dwA3U6UFTqxio9LNnvDCQjHKmttSEBsFQ/edit?usp=sharing"",""จัดที่ดิน!BF26"")"),0)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IFERROR(__xludf.DUMMYFUNCTION("IMPORTRANGE(""https://docs.google.com/spreadsheets/d/1tdoBKaGub7dwA3U6UFTqxio9LNnvDCQjHKmttSEBsFQ/edit?usp=sharing"",""จัดที่ดิน!BG26"")"),0)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IFERROR(__xludf.DUMMYFUNCTION("IMPORTRANGE(""https://docs.google.com/spreadsheets/d/1eHaY18a8A9IcSdp1K8H6x8fbOy06t2VsZHhMHf-1x7Y/edit?usp=sharing"",""แผน!IP26"")"),0)</f>
        <v>0</v>
      </c>
      <c r="J678" s="184">
        <f ca="1">IFERROR(__xludf.DUMMYFUNCTION("IMPORTRANGE(""https://docs.google.com/spreadsheets/d/1tdoBKaGub7dwA3U6UFTqxio9LNnvDCQjHKmttSEBsFQ/edit?usp=sharing"",""จัดที่ดิน!BH26"")"),0)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IFERROR(__xludf.DUMMYFUNCTION("IMPORTRANGE(""https://docs.google.com/spreadsheets/d/1eHaY18a8A9IcSdp1K8H6x8fbOy06t2VsZHhMHf-1x7Y/edit?usp=sharing"",""แผน!IQ26"")"),0)</f>
        <v>0</v>
      </c>
      <c r="J679" s="184">
        <f ca="1">IFERROR(__xludf.DUMMYFUNCTION("IMPORTRANGE(""https://docs.google.com/spreadsheets/d/1tdoBKaGub7dwA3U6UFTqxio9LNnvDCQjHKmttSEBsFQ/edit?usp=sharing"",""จัดที่ดิน!BK26"")"),0)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IFERROR(__xludf.DUMMYFUNCTION("IMPORTRANGE(""https://docs.google.com/spreadsheets/d/1tdoBKaGub7dwA3U6UFTqxio9LNnvDCQjHKmttSEBsFQ/edit?usp=sharing"",""จัดที่ดิน!BL26"")"),0)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IFERROR(__xludf.DUMMYFUNCTION("IMPORTRANGE(""https://docs.google.com/spreadsheets/d/1eHaY18a8A9IcSdp1K8H6x8fbOy06t2VsZHhMHf-1x7Y/edit?usp=sharing"",""แผน!IR26"")"),0)</f>
        <v>0</v>
      </c>
      <c r="J681" s="184">
        <f ca="1">IFERROR(__xludf.DUMMYFUNCTION("IMPORTRANGE(""https://docs.google.com/spreadsheets/d/1tdoBKaGub7dwA3U6UFTqxio9LNnvDCQjHKmttSEBsFQ/edit?usp=sharing"",""จัดที่ดิน!BM26"")"),0)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IFERROR(__xludf.DUMMYFUNCTION("IMPORTRANGE(""https://docs.google.com/spreadsheets/d/1eHaY18a8A9IcSdp1K8H6x8fbOy06t2VsZHhMHf-1x7Y/edit?usp=sharing"",""แผน!IS26"")"),0)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110</v>
      </c>
      <c r="J689" s="552">
        <f ca="1">J707</f>
        <v>93</v>
      </c>
      <c r="K689" s="551">
        <f ca="1">IF(I689&gt;0,J689*100/I689,0)</f>
        <v>84.545454545454547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298240</v>
      </c>
      <c r="R690" s="547">
        <f ca="1">R691+R692</f>
        <v>298240</v>
      </c>
      <c r="S690" s="547">
        <f ca="1">S691+S692</f>
        <v>214760.35</v>
      </c>
      <c r="T690" s="547">
        <f ca="1">IF(Q690&gt;0,S690*100/Q690,0)</f>
        <v>72.009237526824037</v>
      </c>
      <c r="U690" s="547">
        <f ca="1">IF(R690&gt;0,S690*100/R690,0)</f>
        <v>72.009237526824037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298240</v>
      </c>
      <c r="R692" s="224">
        <f ca="1">R695+R698</f>
        <v>298240</v>
      </c>
      <c r="S692" s="224">
        <f ca="1">S695+S698</f>
        <v>214760.35</v>
      </c>
      <c r="T692" s="224">
        <f ca="1">IF(Q692&gt;0,S692*100/Q692,0)</f>
        <v>72.009237526824037</v>
      </c>
      <c r="U692" s="224">
        <f ca="1">IF(R692&gt;0,S692*100/R692,0)</f>
        <v>72.009237526824037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298240</v>
      </c>
      <c r="R693" s="224">
        <f ca="1">R694+R695</f>
        <v>298240</v>
      </c>
      <c r="S693" s="224">
        <f ca="1">S694+S695</f>
        <v>214760.35</v>
      </c>
      <c r="T693" s="224">
        <f ca="1">IF(Q693&gt;0,S693*100/Q693,0)</f>
        <v>72.009237526824037</v>
      </c>
      <c r="U693" s="224">
        <f ca="1">IF(R693&gt;0,S693*100/R693,0)</f>
        <v>72.009237526824037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5" s="224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5" s="224">
        <f ca="1">IFERROR(__xludf.DUMMYFUNCTION("IMPORTRANGE(""https://docs.google.com/spreadsheets/d/1ItG2mGa2ceCfYo0BwxsXqNm01IGEUdYcSSLTEv9YCik/edit?usp=sharing"",""เบิกจ่ายกองทุน!N26"")"),214760.35)</f>
        <v>214760.35</v>
      </c>
      <c r="T695" s="224">
        <f ca="1">IF(Q695&gt;0,S695*100/Q695,0)</f>
        <v>72.009237526824037</v>
      </c>
      <c r="U695" s="224">
        <f ca="1">IF(R695&gt;0,S695*100/R695,0)</f>
        <v>72.009237526824037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IFERROR(__xludf.DUMMYFUNCTION("IMPORTRANGE(""https://docs.google.com/spreadsheets/d/1eHaY18a8A9IcSdp1K8H6x8fbOy06t2VsZHhMHf-1x7Y/edit?usp=sharing"",""แผน!LC26"")"),4)</f>
        <v>4</v>
      </c>
      <c r="J700" s="380">
        <v>4</v>
      </c>
      <c r="K700" s="569">
        <f ca="1">IF(I700&gt;0,J700*100/I700,0)</f>
        <v>100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113</v>
      </c>
      <c r="J701" s="338">
        <f ca="1">J703+J705</f>
        <v>96</v>
      </c>
      <c r="K701" s="547">
        <f ca="1">IF(I701&gt;0,J701*100/I701,0)</f>
        <v>84.955752212389385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48.41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IFERROR(__xludf.DUMMYFUNCTION("IMPORTRANGE(""https://docs.google.com/spreadsheets/d/1eHaY18a8A9IcSdp1K8H6x8fbOy06t2VsZHhMHf-1x7Y/edit?usp=sharing"",""แผน!LJ26"")"),110)</f>
        <v>110</v>
      </c>
      <c r="J703" s="184">
        <f ca="1">IFERROR(__xludf.DUMMYFUNCTION("IMPORTRANGE(""https://docs.google.com/spreadsheets/d/1tdoBKaGub7dwA3U6UFTqxio9LNnvDCQjHKmttSEBsFQ/edit?usp=sharing"",""จัดที่ดิน!AP26"")"),96)</f>
        <v>96</v>
      </c>
      <c r="K703" s="224">
        <f ca="1">IF(I703&gt;0,J703*100/I703,0)</f>
        <v>87.272727272727266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IFERROR(__xludf.DUMMYFUNCTION("IMPORTRANGE(""https://docs.google.com/spreadsheets/d/1tdoBKaGub7dwA3U6UFTqxio9LNnvDCQjHKmttSEBsFQ/edit?usp=sharing"",""จัดที่ดิน!AQ26"")"),48.41)</f>
        <v>48.41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IFERROR(__xludf.DUMMYFUNCTION("IMPORTRANGE(""https://docs.google.com/spreadsheets/d/1eHaY18a8A9IcSdp1K8H6x8fbOy06t2VsZHhMHf-1x7Y/edit?usp=sharing"",""แผน!LK26"")"),3)</f>
        <v>3</v>
      </c>
      <c r="J705" s="184">
        <f ca="1">IFERROR(__xludf.DUMMYFUNCTION("IMPORTRANGE(""https://docs.google.com/spreadsheets/d/1tdoBKaGub7dwA3U6UFTqxio9LNnvDCQjHKmttSEBsFQ/edit?usp=sharing"",""จัดที่ดิน!AR26"")"),0)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IFERROR(__xludf.DUMMYFUNCTION("IMPORTRANGE(""https://docs.google.com/spreadsheets/d/1tdoBKaGub7dwA3U6UFTqxio9LNnvDCQjHKmttSEBsFQ/edit?usp=sharing"",""จัดที่ดิน!AS26"")"),0)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IFERROR(__xludf.DUMMYFUNCTION("IMPORTRANGE(""https://docs.google.com/spreadsheets/d/1eHaY18a8A9IcSdp1K8H6x8fbOy06t2VsZHhMHf-1x7Y/edit?usp=sharing"",""แผน!LJ26"")"),110)</f>
        <v>110</v>
      </c>
      <c r="J707" s="184">
        <f ca="1">IFERROR(__xludf.DUMMYFUNCTION("IMPORTRANGE(""https://docs.google.com/spreadsheets/d/1tdoBKaGub7dwA3U6UFTqxio9LNnvDCQjHKmttSEBsFQ/edit?usp=sharing"",""จัดที่ดิน!BN26"")"),93)</f>
        <v>93</v>
      </c>
      <c r="K707" s="224">
        <f ca="1">IF(I707&gt;0,J707*100/I707,0)</f>
        <v>84.545454545454547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IFERROR(__xludf.DUMMYFUNCTION("IMPORTRANGE(""https://docs.google.com/spreadsheets/d/1tdoBKaGub7dwA3U6UFTqxio9LNnvDCQjHKmttSEBsFQ/edit?usp=sharing"",""จัดที่ดิน!BO26"")"),46)</f>
        <v>46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IFERROR(__xludf.DUMMYFUNCTION("IMPORTRANGE(""https://docs.google.com/spreadsheets/d/1eHaY18a8A9IcSdp1K8H6x8fbOy06t2VsZHhMHf-1x7Y/edit?usp=sharing"",""แผน!LK26"")"),3)</f>
        <v>3</v>
      </c>
      <c r="J709" s="184">
        <f ca="1">IFERROR(__xludf.DUMMYFUNCTION("IMPORTRANGE(""https://docs.google.com/spreadsheets/d/1tdoBKaGub7dwA3U6UFTqxio9LNnvDCQjHKmttSEBsFQ/edit?usp=sharing"",""จัดที่ดิน!BP26"")"),2)</f>
        <v>2</v>
      </c>
      <c r="K709" s="224">
        <f ca="1">IF(I709&gt;0,J709*100/I709,0)</f>
        <v>66.666666666666671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IFERROR(__xludf.DUMMYFUNCTION("IMPORTRANGE(""https://docs.google.com/spreadsheets/d/1tdoBKaGub7dwA3U6UFTqxio9LNnvDCQjHKmttSEBsFQ/edit?usp=sharing"",""จัดที่ดิน!BQ26"")"),0)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IFERROR(__xludf.DUMMYFUNCTION("IMPORTRANGE(""https://docs.google.com/spreadsheets/d/1eHaY18a8A9IcSdp1K8H6x8fbOy06t2VsZHhMHf-1x7Y/edit?usp=sharing"",""แผน!GA26"")"),51)</f>
        <v>51</v>
      </c>
      <c r="J726" s="552">
        <f>J742+J746+J749</f>
        <v>51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IFERROR(__xludf.DUMMYFUNCTION("IMPORTRANGE(""https://docs.google.com/spreadsheets/d/1eHaY18a8A9IcSdp1K8H6x8fbOy06t2VsZHhMHf-1x7Y/edit?usp=sharing"",""แผน!FZ26"")"),500)</f>
        <v>500</v>
      </c>
      <c r="J727" s="552">
        <f>J752+J755</f>
        <v>323.75</v>
      </c>
      <c r="K727" s="551">
        <f ca="1">IF(I727&gt;0,J727*100/I727,0)</f>
        <v>64.75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379090</v>
      </c>
      <c r="R728" s="547">
        <f ca="1">R729+R730</f>
        <v>379090</v>
      </c>
      <c r="S728" s="547">
        <f ca="1">S729+S730</f>
        <v>351735</v>
      </c>
      <c r="T728" s="547">
        <f ca="1">IF(Q728&gt;0,S728*100/Q728,0)</f>
        <v>92.784035453322431</v>
      </c>
      <c r="U728" s="547">
        <f ca="1">IF(R728&gt;0,S728*100/R728,0)</f>
        <v>92.784035453322431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379090</v>
      </c>
      <c r="R730" s="224">
        <f ca="1">R733+R736</f>
        <v>379090</v>
      </c>
      <c r="S730" s="224">
        <f ca="1">S733+S736</f>
        <v>351735</v>
      </c>
      <c r="T730" s="224">
        <f ca="1">IF(Q730&gt;0,S730*100/Q730,0)</f>
        <v>92.784035453322431</v>
      </c>
      <c r="U730" s="224">
        <f ca="1">IF(R730&gt;0,S730*100/R730,0)</f>
        <v>92.784035453322431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351735</v>
      </c>
      <c r="T731" s="224">
        <f ca="1">IF(Q731&gt;0,S731*100/Q731,0)</f>
        <v>92.784035453322431</v>
      </c>
      <c r="U731" s="224">
        <f ca="1">IF(R731&gt;0,S731*100/R731,0)</f>
        <v>92.784035453322431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IFERROR(__xludf.DUMMYFUNCTION("IMPORTRANGE(""https://docs.google.com/spreadsheets/d/1ItG2mGa2ceCfYo0BwxsXqNm01IGEUdYcSSLTEv9YCik/edit?usp=sharing"",""เบิกจ่ายกองทุน!Q26"")"),351735)</f>
        <v>351735</v>
      </c>
      <c r="T733" s="224">
        <f ca="1">IF(Q733&gt;0,S733*100/Q733,0)</f>
        <v>92.784035453322431</v>
      </c>
      <c r="U733" s="224">
        <f ca="1">IF(R733&gt;0,S733*100/R733,0)</f>
        <v>92.784035453322431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IFERROR(__xludf.DUMMYFUNCTION("IMPORTRANGE(""https://docs.google.com/spreadsheets/d/1eHaY18a8A9IcSdp1K8H6x8fbOy06t2VsZHhMHf-1x7Y/edit?usp=sharing"",""แผน!GB26"")"),400)</f>
        <v>400</v>
      </c>
      <c r="J740" s="380">
        <v>400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65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IFERROR(__xludf.DUMMYFUNCTION("IMPORTRANGE(""https://docs.google.com/spreadsheets/d/1eHaY18a8A9IcSdp1K8H6x8fbOy06t2VsZHhMHf-1x7Y/edit?usp=sharing"",""แผน!GC26"")"),40)</f>
        <v>40</v>
      </c>
      <c r="J742" s="555">
        <v>40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IFERROR(__xludf.DUMMYFUNCTION("IMPORTRANGE(""https://docs.google.com/spreadsheets/d/1eHaY18a8A9IcSdp1K8H6x8fbOy06t2VsZHhMHf-1x7Y/edit?usp=sharing"",""แผน!GD26"")"),100)</f>
        <v>100</v>
      </c>
      <c r="J744" s="555">
        <v>100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15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IFERROR(__xludf.DUMMYFUNCTION("IMPORTRANGE(""https://docs.google.com/spreadsheets/d/1eHaY18a8A9IcSdp1K8H6x8fbOy06t2VsZHhMHf-1x7Y/edit?usp=sharing"",""แผน!GE26"")"),10)</f>
        <v>10</v>
      </c>
      <c r="J746" s="555">
        <v>10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IFERROR(__xludf.DUMMYFUNCTION("IMPORTRANGE(""https://docs.google.com/spreadsheets/d/1eHaY18a8A9IcSdp1K8H6x8fbOy06t2VsZHhMHf-1x7Y/edit?usp=sharing"",""แผน!GF26"")"),1)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IFERROR(__xludf.DUMMYFUNCTION("IMPORTRANGE(""https://docs.google.com/spreadsheets/d/1eHaY18a8A9IcSdp1K8H6x8fbOy06t2VsZHhMHf-1x7Y/edit?usp=sharing"",""แผน!GB26"")"),400)</f>
        <v>400</v>
      </c>
      <c r="J752" s="555">
        <v>254.75</v>
      </c>
      <c r="K752" s="558">
        <f ca="1">IF(I752&gt;0,J752*100/I752,0)</f>
        <v>63.6875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400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IFERROR(__xludf.DUMMYFUNCTION("IMPORTRANGE(""https://docs.google.com/spreadsheets/d/1eHaY18a8A9IcSdp1K8H6x8fbOy06t2VsZHhMHf-1x7Y/edit?usp=sharing"",""แผน!GD26"")"),100)</f>
        <v>100</v>
      </c>
      <c r="J755" s="555">
        <v>69</v>
      </c>
      <c r="K755" s="558">
        <f ca="1">IF(I755&gt;0,J755*100/I755,0)</f>
        <v>69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100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1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40</v>
      </c>
      <c r="J758" s="552">
        <f>J772</f>
        <v>40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379780</v>
      </c>
      <c r="R760" s="547">
        <f ca="1">R761+R762</f>
        <v>379780</v>
      </c>
      <c r="S760" s="547">
        <f ca="1">S761+S762</f>
        <v>312690.34000000003</v>
      </c>
      <c r="T760" s="547">
        <f ca="1">IF(Q760&gt;0,S760*100/Q760,0)</f>
        <v>82.334598978355899</v>
      </c>
      <c r="U760" s="547">
        <f ca="1">IF(R760&gt;0,S760*100/R760,0)</f>
        <v>82.334598978355899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379780</v>
      </c>
      <c r="R762" s="224">
        <f ca="1">R765+R768</f>
        <v>379780</v>
      </c>
      <c r="S762" s="224">
        <f ca="1">S765+S768</f>
        <v>312690.34000000003</v>
      </c>
      <c r="T762" s="224">
        <f ca="1">IF(Q762&gt;0,S762*100/Q762,0)</f>
        <v>82.334598978355899</v>
      </c>
      <c r="U762" s="224">
        <f ca="1">IF(R762&gt;0,S762*100/R762,0)</f>
        <v>82.334598978355899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379780</v>
      </c>
      <c r="R763" s="224">
        <f ca="1">R764+R765</f>
        <v>379780</v>
      </c>
      <c r="S763" s="224">
        <f ca="1">S764+S765</f>
        <v>312690.34000000003</v>
      </c>
      <c r="T763" s="224">
        <f ca="1">IF(Q763&gt;0,S763*100/Q763,0)</f>
        <v>82.334598978355899</v>
      </c>
      <c r="U763" s="224">
        <f ca="1">IF(R763&gt;0,S763*100/R763,0)</f>
        <v>82.334598978355899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IFERROR(__xludf.DUMMYFUNCTION("IMPORTRANGE(""https://docs.google.com/spreadsheets/d/1ItG2mGa2ceCfYo0BwxsXqNm01IGEUdYcSSLTEv9YCik/edit?usp=sharing"",""เบิกจ่ายกองทุน!AA26"")"),379780)</f>
        <v>379780</v>
      </c>
      <c r="R765" s="224">
        <f ca="1">IFERROR(__xludf.DUMMYFUNCTION("IMPORTRANGE(""https://docs.google.com/spreadsheets/d/1ItG2mGa2ceCfYo0BwxsXqNm01IGEUdYcSSLTEv9YCik/edit?usp=sharing"",""เบิกจ่ายกองทุน!AB26"")"),379780)</f>
        <v>379780</v>
      </c>
      <c r="S765" s="224">
        <f ca="1">IFERROR(__xludf.DUMMYFUNCTION("IMPORTRANGE(""https://docs.google.com/spreadsheets/d/1ItG2mGa2ceCfYo0BwxsXqNm01IGEUdYcSSLTEv9YCik/edit?usp=sharing"",""เบิกจ่ายกองทุน!AC26"")"),312690.34)</f>
        <v>312690.34000000003</v>
      </c>
      <c r="T765" s="224">
        <f ca="1">IF(Q765&gt;0,S765*100/Q765,0)</f>
        <v>82.334598978355899</v>
      </c>
      <c r="U765" s="224">
        <f ca="1">IF(R765&gt;0,S765*100/R765,0)</f>
        <v>82.334598978355899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IFERROR(__xludf.DUMMYFUNCTION("IMPORTRANGE(""https://docs.google.com/spreadsheets/d/1eHaY18a8A9IcSdp1K8H6x8fbOy06t2VsZHhMHf-1x7Y/edit?usp=sharing"",""แผน!FI26"")"),1)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IFERROR(__xludf.DUMMYFUNCTION("IMPORTRANGE(""https://docs.google.com/spreadsheets/d/1eHaY18a8A9IcSdp1K8H6x8fbOy06t2VsZHhMHf-1x7Y/edit?usp=sharing"",""แผน!FQ26"")"),40)</f>
        <v>40</v>
      </c>
      <c r="J772" s="380">
        <v>40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IFERROR(__xludf.DUMMYFUNCTION("IMPORTRANGE(""https://docs.google.com/spreadsheets/d/1eHaY18a8A9IcSdp1K8H6x8fbOy06t2VsZHhMHf-1x7Y/edit?usp=sharing"",""แผน!FR26"")"),120)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IFERROR(__xludf.DUMMYFUNCTION("IMPORTRANGE(""https://docs.google.com/spreadsheets/d/1eHaY18a8A9IcSdp1K8H6x8fbOy06t2VsZHhMHf-1x7Y/edit?usp=sharing"",""แผน!FS26"")"),120)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IFERROR(__xludf.DUMMYFUNCTION("IMPORTRANGE(""https://docs.google.com/spreadsheets/d/1eHaY18a8A9IcSdp1K8H6x8fbOy06t2VsZHhMHf-1x7Y/edit?usp=sharing"",""แผน!FT26"")"),40)</f>
        <v>40</v>
      </c>
      <c r="J776" s="542">
        <v>40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IFERROR(__xludf.DUMMYFUNCTION("IMPORTRANGE(""https://docs.google.com/spreadsheets/d/10OvvATaaLtwErnr3qtWFcTmtbfpFEt5Bsqel9sXx0uE/edit?usp=sharing"",""งานกองทุน!D26"")"),5541200.4)</f>
        <v>5541200.4000000004</v>
      </c>
      <c r="J778" s="184">
        <f ca="1">IFERROR(__xludf.DUMMYFUNCTION("IMPORTRANGE(""https://docs.google.com/spreadsheets/d/10OvvATaaLtwErnr3qtWFcTmtbfpFEt5Bsqel9sXx0uE/edit?usp=sharing"",""งานกองทุน!F26"")"),5697473.73)</f>
        <v>5697473.7300000004</v>
      </c>
      <c r="K778" s="224">
        <f ca="1">IF(I778&gt;0,J778*100/I778,0)</f>
        <v>102.82020715222643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IFERROR(__xludf.DUMMYFUNCTION("IMPORTRANGE(""https://docs.google.com/spreadsheets/d/10OvvATaaLtwErnr3qtWFcTmtbfpFEt5Bsqel9sXx0uE/edit?usp=sharing"",""งานกองทุน!C26"")"),272)</f>
        <v>272</v>
      </c>
      <c r="J779" s="184">
        <f ca="1">IFERROR(__xludf.DUMMYFUNCTION("IMPORTRANGE(""https://docs.google.com/spreadsheets/d/10OvvATaaLtwErnr3qtWFcTmtbfpFEt5Bsqel9sXx0uE/edit?usp=sharing"",""งานกองทุน!E26"")"),321)</f>
        <v>321</v>
      </c>
      <c r="K779" s="224">
        <f ca="1">IF(I779&gt;0,J779*100/I779,0)</f>
        <v>118.01470588235294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4">
        <f ca="1">IFERROR(__xludf.DUMMYFUNCTION("IMPORTRANGE(""https://docs.google.com/spreadsheets/d/10OvvATaaLtwErnr3qtWFcTmtbfpFEt5Bsqel9sXx0uE/edit?usp=sharing"",""งานกองทุน!K26"")"),29719.73)</f>
        <v>29719.73</v>
      </c>
      <c r="K780" s="224">
        <f ca="1">IF(I780&gt;0,J780*100/I780,0)</f>
        <v>100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IFERROR(__xludf.DUMMYFUNCTION("IMPORTRANGE(""https://docs.google.com/spreadsheets/d/10OvvATaaLtwErnr3qtWFcTmtbfpFEt5Bsqel9sXx0uE/edit?usp=sharing"",""งานกองทุน!H26"")"),1)</f>
        <v>1</v>
      </c>
      <c r="J781" s="184">
        <f ca="1">IFERROR(__xludf.DUMMYFUNCTION("IMPORTRANGE(""https://docs.google.com/spreadsheets/d/10OvvATaaLtwErnr3qtWFcTmtbfpFEt5Bsqel9sXx0uE/edit?usp=sharing"",""งานกองทุน!J26"")"),1)</f>
        <v>1</v>
      </c>
      <c r="K781" s="224">
        <f ca="1">IF(I781&gt;0,J781*100/I781,0)</f>
        <v>100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IFERROR(__xludf.DUMMYFUNCTION("IMPORTRANGE(""https://docs.google.com/spreadsheets/d/10OvvATaaLtwErnr3qtWFcTmtbfpFEt5Bsqel9sXx0uE/edit?usp=sharing"",""งานกองทุน!N26"")"),0)</f>
        <v>0</v>
      </c>
      <c r="J782" s="184">
        <f ca="1">IFERROR(__xludf.DUMMYFUNCTION("IMPORTRANGE(""https://docs.google.com/spreadsheets/d/10OvvATaaLtwErnr3qtWFcTmtbfpFEt5Bsqel9sXx0uE/edit?usp=sharing"",""งานกองทุน!P26"")"),0)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IFERROR(__xludf.DUMMYFUNCTION("IMPORTRANGE(""https://docs.google.com/spreadsheets/d/10OvvATaaLtwErnr3qtWFcTmtbfpFEt5Bsqel9sXx0uE/edit?usp=sharing"",""งานกองทุน!M26"")"),0)</f>
        <v>0</v>
      </c>
      <c r="J783" s="184">
        <f ca="1">IFERROR(__xludf.DUMMYFUNCTION("IMPORTRANGE(""https://docs.google.com/spreadsheets/d/10OvvATaaLtwErnr3qtWFcTmtbfpFEt5Bsqel9sXx0uE/edit?usp=sharing"",""งานกองทุน!O26"")"),0)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IFERROR(__xludf.DUMMYFUNCTION("IMPORTRANGE(""https://docs.google.com/spreadsheets/d/10OvvATaaLtwErnr3qtWFcTmtbfpFEt5Bsqel9sXx0uE/edit?usp=sharing"",""งานกองทุน!S26"")"),9772000)</f>
        <v>9772000</v>
      </c>
      <c r="J784" s="184">
        <f ca="1">IFERROR(__xludf.DUMMYFUNCTION("IMPORTRANGE(""https://docs.google.com/spreadsheets/d/10OvvATaaLtwErnr3qtWFcTmtbfpFEt5Bsqel9sXx0uE/edit?usp=sharing"",""งานกองทุน!U26"")"),9772000)</f>
        <v>9772000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IFERROR(__xludf.DUMMYFUNCTION("IMPORTRANGE(""https://docs.google.com/spreadsheets/d/10OvvATaaLtwErnr3qtWFcTmtbfpFEt5Bsqel9sXx0uE/edit?usp=sharing"",""งานกองทุน!R26"")"),349)</f>
        <v>349</v>
      </c>
      <c r="J785" s="188">
        <f ca="1">IFERROR(__xludf.DUMMYFUNCTION("IMPORTRANGE(""https://docs.google.com/spreadsheets/d/10OvvATaaLtwErnr3qtWFcTmtbfpFEt5Bsqel9sXx0uE/edit?usp=sharing"",""งานกองทุน!T26"")"),237)</f>
        <v>237</v>
      </c>
      <c r="K785" s="508">
        <f ca="1">IF(I785&gt;0,J785*100/I785,0)</f>
        <v>67.908309455587386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6890A-BC39-4655-BF8B-F7EF5303E6A1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342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3816325</v>
      </c>
      <c r="M18" s="755">
        <f ca="1">M19+M20</f>
        <v>4331698</v>
      </c>
      <c r="N18" s="755">
        <f ca="1">N19+N20</f>
        <v>3593996.38</v>
      </c>
      <c r="O18" s="755">
        <f ca="1">IF(L18&gt;0,N18*100/L18,0)</f>
        <v>94.174274465618097</v>
      </c>
      <c r="P18" s="755">
        <f ca="1">IF(M18&gt;0,N18*100/M18,0)</f>
        <v>82.969689484354632</v>
      </c>
      <c r="Q18" s="755">
        <f ca="1">Q19+Q20</f>
        <v>2212663.39</v>
      </c>
      <c r="R18" s="755">
        <f ca="1">R19+R20</f>
        <v>2173083</v>
      </c>
      <c r="S18" s="755">
        <f ca="1">S19+S20</f>
        <v>1814475.65</v>
      </c>
      <c r="T18" s="755">
        <f ca="1">IF(Q18&gt;0,S18*100/Q18,0)</f>
        <v>82.004142979922491</v>
      </c>
      <c r="U18" s="755">
        <f ca="1">IF(R18&gt;0,S18*100/R18,0)</f>
        <v>83.497761015110783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3816325</v>
      </c>
      <c r="M20" s="794">
        <f ca="1">M23+M26</f>
        <v>4331698</v>
      </c>
      <c r="N20" s="794">
        <f ca="1">N23+N26</f>
        <v>3593996.38</v>
      </c>
      <c r="O20" s="794">
        <f ca="1">IF(L20&gt;0,N20*100/L20,0)</f>
        <v>94.174274465618097</v>
      </c>
      <c r="P20" s="794">
        <f ca="1">IF(M20&gt;0,N20*100/M20,0)</f>
        <v>82.969689484354632</v>
      </c>
      <c r="Q20" s="794">
        <f ca="1">Q23+Q26</f>
        <v>2212663.39</v>
      </c>
      <c r="R20" s="794">
        <f ca="1">R23+R26</f>
        <v>2173083</v>
      </c>
      <c r="S20" s="794">
        <f ca="1">S23+S26</f>
        <v>1814475.65</v>
      </c>
      <c r="T20" s="794">
        <f ca="1">IF(Q20&gt;0,S20*100/Q20,0)</f>
        <v>82.004142979922491</v>
      </c>
      <c r="U20" s="794">
        <f ca="1">IF(R20&gt;0,S20*100/R20,0)</f>
        <v>83.497761015110783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3816325</v>
      </c>
      <c r="M21" s="224">
        <f ca="1">M22+M23</f>
        <v>4331698</v>
      </c>
      <c r="N21" s="224">
        <f ca="1">N22+N23</f>
        <v>3593996.38</v>
      </c>
      <c r="O21" s="224">
        <f ca="1">IF(L21&gt;0,N21*100/L21,0)</f>
        <v>94.174274465618097</v>
      </c>
      <c r="P21" s="224">
        <f ca="1">IF(M21&gt;0,N21*100/M21,0)</f>
        <v>82.969689484354632</v>
      </c>
      <c r="Q21" s="224">
        <f ca="1">Q22+Q23</f>
        <v>2212663.39</v>
      </c>
      <c r="R21" s="224">
        <f ca="1">R22+R23</f>
        <v>2173083</v>
      </c>
      <c r="S21" s="224">
        <f ca="1">S22+S23</f>
        <v>1814475.65</v>
      </c>
      <c r="T21" s="224">
        <f ca="1">IF(Q21&gt;0,S21*100/Q21,0)</f>
        <v>82.004142979922491</v>
      </c>
      <c r="U21" s="224">
        <f ca="1">IF(R21&gt;0,S21*100/R21,0)</f>
        <v>83.497761015110783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3816325</v>
      </c>
      <c r="M23" s="224">
        <f ca="1">M49+M64+M77+M99+M122+M144+M162+M191+M178+M271+M287+M308+M325+M338+M361+M380+M418+M498+M518+M539+M560+M581+M604+M621+M647+M695+M719+M733+M765</f>
        <v>4331698</v>
      </c>
      <c r="N23" s="224">
        <f ca="1">N49+N64+N77+N99+N122+N144+N162+N191+N178+N271+N287+N308+N325+N338+N361+N380+N418+N498+N518+N539+N560+N581+N604+N621+N647+N695+N719+N733+N765</f>
        <v>3593996.38</v>
      </c>
      <c r="O23" s="224">
        <f ca="1">IF(L23&gt;0,N23*100/L23,0)</f>
        <v>94.174274465618097</v>
      </c>
      <c r="P23" s="224">
        <f ca="1">IF(M23&gt;0,N23*100/M23,0)</f>
        <v>82.969689484354632</v>
      </c>
      <c r="Q23" s="224">
        <f ca="1">Q77+Q99+Q122+Q144+Q162+Q178+Q191+Q271+Q287+Q308+Q338+Q380+Q397+Q418+Q498+Q604+Q621+Q647+Q695+Q719+Q733+Q765</f>
        <v>2212663.39</v>
      </c>
      <c r="R23" s="224">
        <f ca="1">R77+R99+R122+R144+R162+R178+R191+R271+R287+R308+R338+R380+R397+R418+R498+R604+R621+R647+R695+R719+R733+R765</f>
        <v>2173083</v>
      </c>
      <c r="S23" s="224">
        <f ca="1">S77+S99+S122+S144+S162+S178+S191+S271+S287+S308+S338+S380+S397+S418+S498+S604+S621+S647+S695+S719+S733+S765</f>
        <v>1814475.65</v>
      </c>
      <c r="T23" s="224">
        <f ca="1">IF(Q23&gt;0,S23*100/Q23,0)</f>
        <v>82.004142979922491</v>
      </c>
      <c r="U23" s="224">
        <f ca="1">IF(R23&gt;0,S23*100/R23,0)</f>
        <v>83.497761015110783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3349608</v>
      </c>
      <c r="M40" s="790">
        <f ca="1">M44+M59+M72+M94+M125+M139+M157+M173+M186+M266+M282+M303+M320+M333+M356</f>
        <v>3864981</v>
      </c>
      <c r="N40" s="790">
        <f ca="1">N44+N59+N72+N94+N125+N139+N157+N173+N186+N266+N282+N303+N320+N333+N356</f>
        <v>3500069.05</v>
      </c>
      <c r="O40" s="790">
        <f ca="1">IF(L40&gt;0,N40*100/L40,0)</f>
        <v>104.49190024623776</v>
      </c>
      <c r="P40" s="790">
        <f ca="1">IF(M40&gt;0,N40*100/M40,0)</f>
        <v>90.558505979718916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546100</v>
      </c>
      <c r="M44" s="784">
        <f ca="1">M45+M46</f>
        <v>563483</v>
      </c>
      <c r="N44" s="784">
        <f ca="1">N45+N46</f>
        <v>506215.62</v>
      </c>
      <c r="O44" s="784">
        <f ca="1">IF(L44&gt;0,N44*100/L44,0)</f>
        <v>92.696506134407613</v>
      </c>
      <c r="P44" s="784">
        <f ca="1">IF(M44&gt;0,N44*100/M44,0)</f>
        <v>89.836893038476759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546100</v>
      </c>
      <c r="M46" s="778">
        <f ca="1">M49+M52</f>
        <v>563483</v>
      </c>
      <c r="N46" s="778">
        <f ca="1">N49+N52</f>
        <v>506215.62</v>
      </c>
      <c r="O46" s="778">
        <f ca="1">IF(L46&gt;0,N46*100/L46,0)</f>
        <v>92.696506134407613</v>
      </c>
      <c r="P46" s="778">
        <f ca="1">IF(M46&gt;0,N46*100/M46,0)</f>
        <v>89.836893038476759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546100</v>
      </c>
      <c r="M47" s="224">
        <f ca="1">M48+M49</f>
        <v>563483</v>
      </c>
      <c r="N47" s="224">
        <f ca="1">N48+N49</f>
        <v>506215.62</v>
      </c>
      <c r="O47" s="224">
        <f ca="1">IF(L47&gt;0,N47*100/L47,0)</f>
        <v>92.696506134407613</v>
      </c>
      <c r="P47" s="224">
        <f ca="1">IF(M47&gt;0,N47*100/M47,0)</f>
        <v>89.836893038476759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IFERROR(__xludf.DUMMYFUNCTION("IMPORTRANGE(""https://docs.google.com/spreadsheets/d/1-uDff_7J0KD5mKrp0Vvzr7lt3OU09vwQwhkpOPPYv2Y/edit?usp=sharing"",""งบพรบ!P27"")"),546100)</f>
        <v>546100</v>
      </c>
      <c r="M49" s="224">
        <f ca="1">IFERROR(__xludf.DUMMYFUNCTION("IMPORTRANGE(""https://docs.google.com/spreadsheets/d/1-uDff_7J0KD5mKrp0Vvzr7lt3OU09vwQwhkpOPPYv2Y/edit?usp=sharing"",""งบพรบ!V27"")"),563483)</f>
        <v>563483</v>
      </c>
      <c r="N49" s="224">
        <f ca="1">IFERROR(__xludf.DUMMYFUNCTION("IMPORTRANGE(""https://docs.google.com/spreadsheets/d/1-uDff_7J0KD5mKrp0Vvzr7lt3OU09vwQwhkpOPPYv2Y/edit?usp=sharing"",""งบพรบ!Y27"")"),506215.62)</f>
        <v>506215.62</v>
      </c>
      <c r="O49" s="224">
        <f ca="1">IF(L49&gt;0,N49*100/L49,0)</f>
        <v>92.696506134407613</v>
      </c>
      <c r="P49" s="224">
        <f ca="1">IF(M49&gt;0,N49*100/M49,0)</f>
        <v>89.836893038476759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IFERROR(__xludf.DUMMYFUNCTION("IMPORTRANGE(""https://docs.google.com/spreadsheets/d/1-uDff_7J0KD5mKrp0Vvzr7lt3OU09vwQwhkpOPPYv2Y/edit?usp=sharing"",""งบพรบ!S27"")"),0)</f>
        <v>0</v>
      </c>
      <c r="M52" s="224">
        <f ca="1">IFERROR(__xludf.DUMMYFUNCTION("IMPORTRANGE(""https://docs.google.com/spreadsheets/d/1-uDff_7J0KD5mKrp0Vvzr7lt3OU09vwQwhkpOPPYv2Y/edit?usp=sharing"",""งบพรบ!W27"")"),0)</f>
        <v>0</v>
      </c>
      <c r="N52" s="224">
        <f ca="1">IFERROR(__xludf.DUMMYFUNCTION("IMPORTRANGE(""https://docs.google.com/spreadsheets/d/1-uDff_7J0KD5mKrp0Vvzr7lt3OU09vwQwhkpOPPYv2Y/edit?usp=sharing"",""งบพรบ!Z27"")"),0)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791900</v>
      </c>
      <c r="M59" s="772">
        <f ca="1">M60+M61</f>
        <v>791900</v>
      </c>
      <c r="N59" s="772">
        <f ca="1">N60+N61</f>
        <v>785027.3</v>
      </c>
      <c r="O59" s="772">
        <f ca="1">IF(L59&gt;0,N59*100/L59,0)</f>
        <v>99.132125268341966</v>
      </c>
      <c r="P59" s="772">
        <f ca="1">IF(M59&gt;0,N59*100/M59,0)</f>
        <v>99.132125268341966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791900</v>
      </c>
      <c r="M61" s="766">
        <f ca="1">M64+M67</f>
        <v>791900</v>
      </c>
      <c r="N61" s="766">
        <f ca="1">N64+N67</f>
        <v>785027.3</v>
      </c>
      <c r="O61" s="766">
        <f ca="1">IF(L61&gt;0,N61*100/L61,0)</f>
        <v>99.132125268341966</v>
      </c>
      <c r="P61" s="766">
        <f ca="1">IF(M61&gt;0,N61*100/M61,0)</f>
        <v>99.132125268341966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791900</v>
      </c>
      <c r="M62" s="224">
        <f ca="1">M63+M64</f>
        <v>791900</v>
      </c>
      <c r="N62" s="224">
        <f ca="1">N63+N64</f>
        <v>785027.3</v>
      </c>
      <c r="O62" s="224">
        <f ca="1">IF(L62&gt;0,N62*100/L62,0)</f>
        <v>99.132125268341966</v>
      </c>
      <c r="P62" s="224">
        <f ca="1">IF(M62&gt;0,N62*100/M62,0)</f>
        <v>99.132125268341966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IFERROR(__xludf.DUMMYFUNCTION("IMPORTRANGE(""https://docs.google.com/spreadsheets/d/1-uDff_7J0KD5mKrp0Vvzr7lt3OU09vwQwhkpOPPYv2Y/edit?usp=sharing"",""งบพรบ!AC27"")"),791900)</f>
        <v>791900</v>
      </c>
      <c r="M64" s="224">
        <f ca="1">IFERROR(__xludf.DUMMYFUNCTION("IMPORTRANGE(""https://docs.google.com/spreadsheets/d/1-uDff_7J0KD5mKrp0Vvzr7lt3OU09vwQwhkpOPPYv2Y/edit?usp=sharing"",""งบพรบ!AH27"")"),791900)</f>
        <v>791900</v>
      </c>
      <c r="N64" s="224">
        <f ca="1">IFERROR(__xludf.DUMMYFUNCTION("IMPORTRANGE(""https://docs.google.com/spreadsheets/d/1-uDff_7J0KD5mKrp0Vvzr7lt3OU09vwQwhkpOPPYv2Y/edit?usp=sharing"",""งบพรบ!AJ27"")"),785027.3)</f>
        <v>785027.3</v>
      </c>
      <c r="O64" s="224">
        <f ca="1">IF(L64&gt;0,N64*100/L64,0)</f>
        <v>99.132125268341966</v>
      </c>
      <c r="P64" s="224">
        <f ca="1">IF(M64&gt;0,N64*100/M64,0)</f>
        <v>99.132125268341966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IFERROR(__xludf.DUMMYFUNCTION("IMPORTRANGE(""https://docs.google.com/spreadsheets/d/1-uDff_7J0KD5mKrp0Vvzr7lt3OU09vwQwhkpOPPYv2Y/edit?usp=sharing"",""งบพรบ!AF27"")"),0)</f>
        <v>0</v>
      </c>
      <c r="M67" s="508">
        <f ca="1">IFERROR(__xludf.DUMMYFUNCTION("IMPORTRANGE(""https://docs.google.com/spreadsheets/d/1-uDff_7J0KD5mKrp0Vvzr7lt3OU09vwQwhkpOPPYv2Y/edit?usp=sharing"",""งบพรบ!AI27"")"),0)</f>
        <v>0</v>
      </c>
      <c r="N67" s="508">
        <f ca="1">IFERROR(__xludf.DUMMYFUNCTION("IMPORTRANGE(""https://docs.google.com/spreadsheets/d/1-uDff_7J0KD5mKrp0Vvzr7lt3OU09vwQwhkpOPPYv2Y/edit?usp=sharing"",""งบพรบ!AK27"")"),0)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35</v>
      </c>
      <c r="J71" s="756">
        <f>J83</f>
        <v>35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575500</v>
      </c>
      <c r="M72" s="547">
        <f ca="1">M73+M74</f>
        <v>575500</v>
      </c>
      <c r="N72" s="547">
        <f ca="1">N73+N74</f>
        <v>542787.27</v>
      </c>
      <c r="O72" s="547">
        <f ca="1">IF(L72&gt;0,N72*100/L72,0)</f>
        <v>94.315772371850571</v>
      </c>
      <c r="P72" s="547">
        <f ca="1">IF(M72&gt;0,N72*100/M72,0)</f>
        <v>94.315772371850571</v>
      </c>
      <c r="Q72" s="547">
        <f ca="1">Q73+Q74</f>
        <v>400800</v>
      </c>
      <c r="R72" s="547">
        <f ca="1">R73+R74</f>
        <v>400800</v>
      </c>
      <c r="S72" s="547">
        <f ca="1">S73+S74</f>
        <v>317515</v>
      </c>
      <c r="T72" s="547">
        <f ca="1">IF(Q72&gt;0,S72*100/Q72,0)</f>
        <v>79.220309381237527</v>
      </c>
      <c r="U72" s="547">
        <f ca="1">IF(R72&gt;0,S72*100/R72,0)</f>
        <v>79.220309381237527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575500</v>
      </c>
      <c r="M74" s="224">
        <f ca="1">M77+M80</f>
        <v>575500</v>
      </c>
      <c r="N74" s="224">
        <f ca="1">N77+N80</f>
        <v>542787.27</v>
      </c>
      <c r="O74" s="224">
        <f ca="1">IF(L74&gt;0,N74*100/L74,0)</f>
        <v>94.315772371850571</v>
      </c>
      <c r="P74" s="224">
        <f ca="1">IF(M74&gt;0,N74*100/M74,0)</f>
        <v>94.315772371850571</v>
      </c>
      <c r="Q74" s="224">
        <f ca="1">Q77+Q80</f>
        <v>400800</v>
      </c>
      <c r="R74" s="224">
        <f ca="1">R77+R80</f>
        <v>400800</v>
      </c>
      <c r="S74" s="224">
        <f ca="1">S77+S80</f>
        <v>317515</v>
      </c>
      <c r="T74" s="224">
        <f ca="1">IF(Q74&gt;0,S74*100/Q74,0)</f>
        <v>79.220309381237527</v>
      </c>
      <c r="U74" s="224">
        <f ca="1">IF(R74&gt;0,S74*100/R74,0)</f>
        <v>79.220309381237527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575500</v>
      </c>
      <c r="M75" s="224">
        <f ca="1">M76+M77</f>
        <v>575500</v>
      </c>
      <c r="N75" s="224">
        <f ca="1">N76+N77</f>
        <v>542787.27</v>
      </c>
      <c r="O75" s="224">
        <f ca="1">IF(L75&gt;0,N75*100/L75,0)</f>
        <v>94.315772371850571</v>
      </c>
      <c r="P75" s="224">
        <f ca="1">IF(M75&gt;0,N75*100/M75,0)</f>
        <v>94.315772371850571</v>
      </c>
      <c r="Q75" s="224">
        <f ca="1">Q76+Q77</f>
        <v>400800</v>
      </c>
      <c r="R75" s="224">
        <f ca="1">R76+R77</f>
        <v>400800</v>
      </c>
      <c r="S75" s="224">
        <f ca="1">S76+S77</f>
        <v>317515</v>
      </c>
      <c r="T75" s="224">
        <f ca="1">IF(Q75&gt;0,S75*100/Q75,0)</f>
        <v>79.220309381237527</v>
      </c>
      <c r="U75" s="224">
        <f ca="1">IF(R75&gt;0,S75*100/R75,0)</f>
        <v>79.220309381237527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IFERROR(__xludf.DUMMYFUNCTION("IMPORTRANGE(""https://docs.google.com/spreadsheets/d/1-uDff_7J0KD5mKrp0Vvzr7lt3OU09vwQwhkpOPPYv2Y/edit?usp=sharing"",""งบพรบ!AM27"")"),575500)</f>
        <v>575500</v>
      </c>
      <c r="M77" s="224">
        <f ca="1">IFERROR(__xludf.DUMMYFUNCTION("IMPORTRANGE(""https://docs.google.com/spreadsheets/d/1-uDff_7J0KD5mKrp0Vvzr7lt3OU09vwQwhkpOPPYv2Y/edit?usp=sharing"",""งบพรบ!AR27"")"),575500)</f>
        <v>575500</v>
      </c>
      <c r="N77" s="224">
        <f ca="1">IFERROR(__xludf.DUMMYFUNCTION("IMPORTRANGE(""https://docs.google.com/spreadsheets/d/1-uDff_7J0KD5mKrp0Vvzr7lt3OU09vwQwhkpOPPYv2Y/edit?usp=sharing"",""งบพรบ!AT27"")"),542787.27)</f>
        <v>542787.27</v>
      </c>
      <c r="O77" s="224">
        <f ca="1">IF(L77&gt;0,N77*100/L77,0)</f>
        <v>94.315772371850571</v>
      </c>
      <c r="P77" s="224">
        <f ca="1">IF(M77&gt;0,N77*100/M77,0)</f>
        <v>94.315772371850571</v>
      </c>
      <c r="Q77" s="224">
        <f ca="1">IFERROR(__xludf.DUMMYFUNCTION("IMPORTRANGE(""https://docs.google.com/spreadsheets/d/1ItG2mGa2ceCfYo0BwxsXqNm01IGEUdYcSSLTEv9YCik/edit?usp=sharing"",""เบิกจ่ายกองทุน!BH27"")"),400800)</f>
        <v>400800</v>
      </c>
      <c r="R77" s="224">
        <f ca="1">IFERROR(__xludf.DUMMYFUNCTION("IMPORTRANGE(""https://docs.google.com/spreadsheets/d/1ItG2mGa2ceCfYo0BwxsXqNm01IGEUdYcSSLTEv9YCik/edit?usp=sharing"",""เบิกจ่ายกองทุน!BI27"")"),400800)</f>
        <v>400800</v>
      </c>
      <c r="S77" s="224">
        <f ca="1">IFERROR(__xludf.DUMMYFUNCTION("IMPORTRANGE(""https://docs.google.com/spreadsheets/d/1ItG2mGa2ceCfYo0BwxsXqNm01IGEUdYcSSLTEv9YCik/edit?usp=sharing"",""เบิกจ่ายกองทุน!BJ27"")"),317515)</f>
        <v>317515</v>
      </c>
      <c r="T77" s="224">
        <f ca="1">IF(Q77&gt;0,S77*100/Q77,0)</f>
        <v>79.220309381237527</v>
      </c>
      <c r="U77" s="224">
        <f ca="1">IF(R77&gt;0,S77*100/R77,0)</f>
        <v>79.220309381237527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IFERROR(__xludf.DUMMYFUNCTION("IMPORTRANGE(""https://docs.google.com/spreadsheets/d/1-uDff_7J0KD5mKrp0Vvzr7lt3OU09vwQwhkpOPPYv2Y/edit?usp=sharing"",""งบพรบ!AP27"")"),0)</f>
        <v>0</v>
      </c>
      <c r="M80" s="224">
        <f ca="1">IFERROR(__xludf.DUMMYFUNCTION("IMPORTRANGE(""https://docs.google.com/spreadsheets/d/1-uDff_7J0KD5mKrp0Vvzr7lt3OU09vwQwhkpOPPYv2Y/edit?usp=sharing"",""งบพรบ!AS27"")"),0)</f>
        <v>0</v>
      </c>
      <c r="N80" s="224">
        <f ca="1">IFERROR(__xludf.DUMMYFUNCTION("IMPORTRANGE(""https://docs.google.com/spreadsheets/d/1-uDff_7J0KD5mKrp0Vvzr7lt3OU09vwQwhkpOPPYv2Y/edit?usp=sharing"",""งบพรบ!AU27"")"),0)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IFERROR(__xludf.DUMMYFUNCTION("IMPORTRANGE(""https://docs.google.com/spreadsheets/d/1ItG2mGa2ceCfYo0BwxsXqNm01IGEUdYcSSLTEv9YCik/edit?usp=sharing"",""เบิกจ่ายกองทุน!BK27"")"),0)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IFERROR(__xludf.DUMMYFUNCTION("IMPORTRANGE(""https://docs.google.com/spreadsheets/d/1ItG2mGa2ceCfYo0BwxsXqNm01IGEUdYcSSLTEv9YCik/edit?usp=sharing"",""เบิกจ่ายกองทุน!BL27"")"),0)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IFERROR(__xludf.DUMMYFUNCTION("IMPORTRANGE(""https://docs.google.com/spreadsheets/d/1ItG2mGa2ceCfYo0BwxsXqNm01IGEUdYcSSLTEv9YCik/edit?usp=sharing"",""เบิกจ่ายกองทุน!BM27"")"),0)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35</v>
      </c>
      <c r="J83" s="338">
        <f>J85+J87+J89</f>
        <v>35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IFERROR(__xludf.DUMMYFUNCTION("IMPORTRANGE(""https://docs.google.com/spreadsheets/d/1eHaY18a8A9IcSdp1K8H6x8fbOy06t2VsZHhMHf-1x7Y/edit?usp=sharing"",""แผน!H27"")"),0)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IFERROR(__xludf.DUMMYFUNCTION("IMPORTRANGE(""https://docs.google.com/spreadsheets/d/1eHaY18a8A9IcSdp1K8H6x8fbOy06t2VsZHhMHf-1x7Y/edit?usp=sharing"",""แผน!I27"")"),0)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IFERROR(__xludf.DUMMYFUNCTION("IMPORTRANGE(""https://docs.google.com/spreadsheets/d/1eHaY18a8A9IcSdp1K8H6x8fbOy06t2VsZHhMHf-1x7Y/edit?usp=sharing"",""แผน!F27"")"),0)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IFERROR(__xludf.DUMMYFUNCTION("IMPORTRANGE(""https://docs.google.com/spreadsheets/d/1eHaY18a8A9IcSdp1K8H6x8fbOy06t2VsZHhMHf-1x7Y/edit?usp=sharing"",""แผน!G27"")"),0)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IFERROR(__xludf.DUMMYFUNCTION("IMPORTRANGE(""https://docs.google.com/spreadsheets/d/1eHaY18a8A9IcSdp1K8H6x8fbOy06t2VsZHhMHf-1x7Y/edit?usp=sharing"",""แผน!D27"")"),1)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IFERROR(__xludf.DUMMYFUNCTION("IMPORTRANGE(""https://docs.google.com/spreadsheets/d/1eHaY18a8A9IcSdp1K8H6x8fbOy06t2VsZHhMHf-1x7Y/edit?usp=sharing"",""แผน!E27"")"),35)</f>
        <v>35</v>
      </c>
      <c r="J89" s="380">
        <v>35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IFERROR(__xludf.DUMMYFUNCTION("IMPORTRANGE(""https://docs.google.com/spreadsheets/d/1eHaY18a8A9IcSdp1K8H6x8fbOy06t2VsZHhMHf-1x7Y/edit?usp=sharing"",""แผน!J27"")"),1)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67000</v>
      </c>
      <c r="M94" s="547">
        <f ca="1">M95+M96</f>
        <v>67000</v>
      </c>
      <c r="N94" s="547">
        <f ca="1">N95+N96</f>
        <v>66917.899999999994</v>
      </c>
      <c r="O94" s="547">
        <f ca="1">IF(L94&gt;0,N94*100/L94,0)</f>
        <v>99.877462686567156</v>
      </c>
      <c r="P94" s="547">
        <f ca="1">IF(M94&gt;0,N94*100/M94,0)</f>
        <v>99.877462686567156</v>
      </c>
      <c r="Q94" s="547">
        <f ca="1">Q95+Q96</f>
        <v>84420</v>
      </c>
      <c r="R94" s="547">
        <f ca="1">R95+R96</f>
        <v>84420</v>
      </c>
      <c r="S94" s="547">
        <f ca="1">S95+S96</f>
        <v>74040</v>
      </c>
      <c r="T94" s="547">
        <f ca="1">IF(Q94&gt;0,S94*100/Q94,0)</f>
        <v>87.704335465529496</v>
      </c>
      <c r="U94" s="547">
        <f ca="1">IF(R94&gt;0,S94*100/R94,0)</f>
        <v>87.704335465529496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67000</v>
      </c>
      <c r="M96" s="224">
        <f ca="1">M99+M102</f>
        <v>67000</v>
      </c>
      <c r="N96" s="224">
        <f ca="1">N99+N102</f>
        <v>66917.899999999994</v>
      </c>
      <c r="O96" s="224">
        <f ca="1">IF(L96&gt;0,N96*100/L96,0)</f>
        <v>99.877462686567156</v>
      </c>
      <c r="P96" s="224">
        <f ca="1">IF(M96&gt;0,N96*100/M96,0)</f>
        <v>99.877462686567156</v>
      </c>
      <c r="Q96" s="224">
        <f ca="1">Q99+Q102</f>
        <v>84420</v>
      </c>
      <c r="R96" s="224">
        <f ca="1">R99+R102</f>
        <v>84420</v>
      </c>
      <c r="S96" s="224">
        <f ca="1">S99+S102</f>
        <v>74040</v>
      </c>
      <c r="T96" s="224">
        <f ca="1">IF(Q96&gt;0,S96*100/Q96,0)</f>
        <v>87.704335465529496</v>
      </c>
      <c r="U96" s="224">
        <f ca="1">IF(R96&gt;0,S96*100/R96,0)</f>
        <v>87.704335465529496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67000</v>
      </c>
      <c r="M97" s="224">
        <f ca="1">M98+M99</f>
        <v>67000</v>
      </c>
      <c r="N97" s="224">
        <f ca="1">N98+N99</f>
        <v>66917.899999999994</v>
      </c>
      <c r="O97" s="224">
        <f ca="1">IF(L97&gt;0,N97*100/L97,0)</f>
        <v>99.877462686567156</v>
      </c>
      <c r="P97" s="224">
        <f ca="1">IF(M97&gt;0,N97*100/M97,0)</f>
        <v>99.877462686567156</v>
      </c>
      <c r="Q97" s="224">
        <f ca="1">Q98+Q99</f>
        <v>84420</v>
      </c>
      <c r="R97" s="224">
        <f ca="1">R98+R99</f>
        <v>84420</v>
      </c>
      <c r="S97" s="224">
        <f ca="1">S98+S99</f>
        <v>74040</v>
      </c>
      <c r="T97" s="224">
        <f ca="1">IF(Q97&gt;0,S97*100/Q97,0)</f>
        <v>87.704335465529496</v>
      </c>
      <c r="U97" s="224">
        <f ca="1">IF(R97&gt;0,S97*100/R97,0)</f>
        <v>87.704335465529496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IFERROR(__xludf.DUMMYFUNCTION("IMPORTRANGE(""https://docs.google.com/spreadsheets/d/1-uDff_7J0KD5mKrp0Vvzr7lt3OU09vwQwhkpOPPYv2Y/edit?usp=sharing"",""งบพรบ!AW27"")"),67000)</f>
        <v>67000</v>
      </c>
      <c r="M99" s="224">
        <f ca="1">IFERROR(__xludf.DUMMYFUNCTION("IMPORTRANGE(""https://docs.google.com/spreadsheets/d/1-uDff_7J0KD5mKrp0Vvzr7lt3OU09vwQwhkpOPPYv2Y/edit?usp=sharing"",""งบพรบ!BB27"")"),67000)</f>
        <v>67000</v>
      </c>
      <c r="N99" s="224">
        <f ca="1">IFERROR(__xludf.DUMMYFUNCTION("IMPORTRANGE(""https://docs.google.com/spreadsheets/d/1-uDff_7J0KD5mKrp0Vvzr7lt3OU09vwQwhkpOPPYv2Y/edit?usp=sharing"",""งบพรบ!BD27"")"),66917.9)</f>
        <v>66917.899999999994</v>
      </c>
      <c r="O99" s="224">
        <f ca="1">IF(L99&gt;0,N99*100/L99,0)</f>
        <v>99.877462686567156</v>
      </c>
      <c r="P99" s="224">
        <f ca="1">IF(M99&gt;0,N99*100/M99,0)</f>
        <v>99.877462686567156</v>
      </c>
      <c r="Q99" s="224">
        <f ca="1">IFERROR(__xludf.DUMMYFUNCTION("IMPORTRANGE(""https://docs.google.com/spreadsheets/d/1ItG2mGa2ceCfYo0BwxsXqNm01IGEUdYcSSLTEv9YCik/edit?usp=sharing"",""เบิกจ่ายกองทุน!AJ27"")"),84420)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IFERROR(__xludf.DUMMYFUNCTION("IMPORTRANGE(""https://docs.google.com/spreadsheets/d/1ItG2mGa2ceCfYo0BwxsXqNm01IGEUdYcSSLTEv9YCik/edit?usp=sharing"",""เบิกจ่ายกองทุน!AK27"")"),84420)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IFERROR(__xludf.DUMMYFUNCTION("IMPORTRANGE(""https://docs.google.com/spreadsheets/d/1ItG2mGa2ceCfYo0BwxsXqNm01IGEUdYcSSLTEv9YCik/edit?usp=sharing"",""เบิกจ่ายกองทุน!AL27"")"),74040)</f>
        <v>74040</v>
      </c>
      <c r="T99" s="224">
        <f ca="1">IF(Q99&gt;0,S99*100/Q99,0)</f>
        <v>87.704335465529496</v>
      </c>
      <c r="U99" s="224">
        <f ca="1">IF(R99&gt;0,S99*100/R99,0)</f>
        <v>87.704335465529496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IFERROR(__xludf.DUMMYFUNCTION("IMPORTRANGE(""https://docs.google.com/spreadsheets/d/1-uDff_7J0KD5mKrp0Vvzr7lt3OU09vwQwhkpOPPYv2Y/edit?usp=sharing"",""งบพรบ!AZ27"")"),0)</f>
        <v>0</v>
      </c>
      <c r="M102" s="224">
        <f ca="1">IFERROR(__xludf.DUMMYFUNCTION("IMPORTRANGE(""https://docs.google.com/spreadsheets/d/1-uDff_7J0KD5mKrp0Vvzr7lt3OU09vwQwhkpOPPYv2Y/edit?usp=sharing"",""งบพรบ!BC27"")"),0)</f>
        <v>0</v>
      </c>
      <c r="N102" s="224">
        <f ca="1">IFERROR(__xludf.DUMMYFUNCTION("IMPORTRANGE(""https://docs.google.com/spreadsheets/d/1-uDff_7J0KD5mKrp0Vvzr7lt3OU09vwQwhkpOPPYv2Y/edit?usp=sharing"",""งบพรบ!BE27"")"),0)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IFERROR(__xludf.DUMMYFUNCTION("IMPORTRANGE(""https://docs.google.com/spreadsheets/d/1eHaY18a8A9IcSdp1K8H6x8fbOy06t2VsZHhMHf-1x7Y/edit?usp=sharing"",""แผน!N27"")"),30)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IFERROR(__xludf.DUMMYFUNCTION("IMPORTRANGE(""https://docs.google.com/spreadsheets/d/1eHaY18a8A9IcSdp1K8H6x8fbOy06t2VsZHhMHf-1x7Y/edit?usp=sharing"",""แผน!O27"")"),10)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IFERROR(__xludf.DUMMYFUNCTION("IMPORTRANGE(""https://docs.google.com/spreadsheets/d/1eHaY18a8A9IcSdp1K8H6x8fbOy06t2VsZHhMHf-1x7Y/edit?usp=sharing"",""แผน!N27"")"),30)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IFERROR(__xludf.DUMMYFUNCTION("IMPORTRANGE(""https://docs.google.com/spreadsheets/d/1eHaY18a8A9IcSdp1K8H6x8fbOy06t2VsZHhMHf-1x7Y/edit?usp=sharing"",""แผน!O27"")"),10)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284520</v>
      </c>
      <c r="R117" s="547">
        <f ca="1">R118+R119</f>
        <v>284520</v>
      </c>
      <c r="S117" s="547">
        <f ca="1">S118+S119</f>
        <v>244857.98</v>
      </c>
      <c r="T117" s="547">
        <f ca="1">IF(Q117&gt;0,S117*100/Q117,0)</f>
        <v>86.060023899901594</v>
      </c>
      <c r="U117" s="547">
        <f ca="1">IF(R117&gt;0,S117*100/R117,0)</f>
        <v>86.060023899901594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244857.98</v>
      </c>
      <c r="T119" s="224">
        <f ca="1">IF(Q119&gt;0,S119*100/Q119,0)</f>
        <v>86.060023899901594</v>
      </c>
      <c r="U119" s="224">
        <f ca="1">IF(R119&gt;0,S119*100/R119,0)</f>
        <v>86.060023899901594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244857.98</v>
      </c>
      <c r="T120" s="224">
        <f ca="1">IF(Q120&gt;0,S120*100/Q120,0)</f>
        <v>86.060023899901594</v>
      </c>
      <c r="U120" s="224">
        <f ca="1">IF(R120&gt;0,S120*100/R120,0)</f>
        <v>86.060023899901594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IFERROR(__xludf.DUMMYFUNCTION("IMPORTRANGE(""https://docs.google.com/spreadsheets/d/1-uDff_7J0KD5mKrp0Vvzr7lt3OU09vwQwhkpOPPYv2Y/edit?usp=sharing"",""งบพรบ!BG27"")"),0)</f>
        <v>0</v>
      </c>
      <c r="M122" s="224">
        <f ca="1">IFERROR(__xludf.DUMMYFUNCTION("IMPORTRANGE(""https://docs.google.com/spreadsheets/d/1-uDff_7J0KD5mKrp0Vvzr7lt3OU09vwQwhkpOPPYv2Y/edit?usp=sharing"",""งบพรบ!BL27"")"),0)</f>
        <v>0</v>
      </c>
      <c r="N122" s="224">
        <f ca="1">IFERROR(__xludf.DUMMYFUNCTION("IMPORTRANGE(""https://docs.google.com/spreadsheets/d/1-uDff_7J0KD5mKrp0Vvzr7lt3OU09vwQwhkpOPPYv2Y/edit?usp=sharing"",""งบพรบ!BN27"")"),0)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IFERROR(__xludf.DUMMYFUNCTION("IMPORTRANGE(""https://docs.google.com/spreadsheets/d/1ItG2mGa2ceCfYo0BwxsXqNm01IGEUdYcSSLTEv9YCik/edit?usp=sharing"",""เบิกจ่ายกองทุน!U27"")"),284520)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IFERROR(__xludf.DUMMYFUNCTION("IMPORTRANGE(""https://docs.google.com/spreadsheets/d/1ItG2mGa2ceCfYo0BwxsXqNm01IGEUdYcSSLTEv9YCik/edit?usp=sharing"",""เบิกจ่ายกองทุน!V27"")"),284520)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IFERROR(__xludf.DUMMYFUNCTION("IMPORTRANGE(""https://docs.google.com/spreadsheets/d/1ItG2mGa2ceCfYo0BwxsXqNm01IGEUdYcSSLTEv9YCik/edit?usp=sharing"",""เบิกจ่ายกองทุน!W27"")"),244857.98)</f>
        <v>244857.98</v>
      </c>
      <c r="T122" s="224">
        <f ca="1">IF(Q122&gt;0,S122*100/Q122,0)</f>
        <v>86.060023899901594</v>
      </c>
      <c r="U122" s="224">
        <f ca="1">IF(R122&gt;0,S122*100/R122,0)</f>
        <v>86.060023899901594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IFERROR(__xludf.DUMMYFUNCTION("IMPORTRANGE(""https://docs.google.com/spreadsheets/d/1-uDff_7J0KD5mKrp0Vvzr7lt3OU09vwQwhkpOPPYv2Y/edit?usp=sharing"",""งบพรบ!BJ27"")"),0)</f>
        <v>0</v>
      </c>
      <c r="M125" s="224">
        <f ca="1">IFERROR(__xludf.DUMMYFUNCTION("IMPORTRANGE(""https://docs.google.com/spreadsheets/d/1-uDff_7J0KD5mKrp0Vvzr7lt3OU09vwQwhkpOPPYv2Y/edit?usp=sharing"",""งบพรบ!BM27"")"),0)</f>
        <v>0</v>
      </c>
      <c r="N125" s="224">
        <f ca="1">IFERROR(__xludf.DUMMYFUNCTION("IMPORTRANGE(""https://docs.google.com/spreadsheets/d/1-uDff_7J0KD5mKrp0Vvzr7lt3OU09vwQwhkpOPPYv2Y/edit?usp=sharing"",""งบพรบ!BO27"")"),0)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IFERROR(__xludf.DUMMYFUNCTION("IMPORTRANGE(""https://docs.google.com/spreadsheets/d/1ItG2mGa2ceCfYo0BwxsXqNm01IGEUdYcSSLTEv9YCik/edit?usp=sharing"",""เบิกจ่ายกองทุน!X27"")"),0)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IFERROR(__xludf.DUMMYFUNCTION("IMPORTRANGE(""https://docs.google.com/spreadsheets/d/1ItG2mGa2ceCfYo0BwxsXqNm01IGEUdYcSSLTEv9YCik/edit?usp=sharing"",""เบิกจ่ายกองทุน!Y27"")"),0)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IFERROR(__xludf.DUMMYFUNCTION("IMPORTRANGE(""https://docs.google.com/spreadsheets/d/1ItG2mGa2ceCfYo0BwxsXqNm01IGEUdYcSSLTEv9YCik/edit?usp=sharing"",""เบิกจ่ายกองทุน!Z27"")"),0)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IFERROR(__xludf.DUMMYFUNCTION("IMPORTRANGE(""https://docs.google.com/spreadsheets/d/1eHaY18a8A9IcSdp1K8H6x8fbOy06t2VsZHhMHf-1x7Y/edit?usp=sharing"",""แผน!FF27"")"),50)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IFERROR(__xludf.DUMMYFUNCTION("IMPORTRANGE(""https://docs.google.com/spreadsheets/d/1eHaY18a8A9IcSdp1K8H6x8fbOy06t2VsZHhMHf-1x7Y/edit?usp=sharing"",""แผน!FG27"")"),2)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IFERROR(__xludf.DUMMYFUNCTION("IMPORTRANGE(""https://docs.google.com/spreadsheets/d/1eHaY18a8A9IcSdp1K8H6x8fbOy06t2VsZHhMHf-1x7Y/edit?usp=sharing"",""แผน!FH27"")"),20)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IFERROR(__xludf.DUMMYFUNCTION("IMPORTRANGE(""https://docs.google.com/spreadsheets/d/1eHaY18a8A9IcSdp1K8H6x8fbOy06t2VsZHhMHf-1x7Y/edit?usp=sharing"",""แผน!FI27"")"),1)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IFERROR(__xludf.DUMMYFUNCTION("IMPORTRANGE(""https://docs.google.com/spreadsheets/d/1-uDff_7J0KD5mKrp0Vvzr7lt3OU09vwQwhkpOPPYv2Y/edit?usp=sharing"",""งบพรบ!BQ27"")"),0)</f>
        <v>0</v>
      </c>
      <c r="M144" s="224">
        <f ca="1">IFERROR(__xludf.DUMMYFUNCTION("IMPORTRANGE(""https://docs.google.com/spreadsheets/d/1-uDff_7J0KD5mKrp0Vvzr7lt3OU09vwQwhkpOPPYv2Y/edit?usp=sharing"",""งบพรบ!BV27"")"),0)</f>
        <v>0</v>
      </c>
      <c r="N144" s="224">
        <f ca="1">IFERROR(__xludf.DUMMYFUNCTION("IMPORTRANGE(""https://docs.google.com/spreadsheets/d/1-uDff_7J0KD5mKrp0Vvzr7lt3OU09vwQwhkpOPPYv2Y/edit?usp=sharing"",""งบพรบ!BX27"")"),0)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IFERROR(__xludf.DUMMYFUNCTION("IMPORTRANGE(""https://docs.google.com/spreadsheets/d/1ItG2mGa2ceCfYo0BwxsXqNm01IGEUdYcSSLTEv9YCik/edit?usp=sharing"",""เบิกจ่ายกองทุน!CF27"")"),0)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IFERROR(__xludf.DUMMYFUNCTION("IMPORTRANGE(""https://docs.google.com/spreadsheets/d/1ItG2mGa2ceCfYo0BwxsXqNm01IGEUdYcSSLTEv9YCik/edit?usp=sharing"",""เบิกจ่ายกองทุน!CG27"")"),0)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IFERROR(__xludf.DUMMYFUNCTION("IMPORTRANGE(""https://docs.google.com/spreadsheets/d/1ItG2mGa2ceCfYo0BwxsXqNm01IGEUdYcSSLTEv9YCik/edit?usp=sharing"",""เบิกจ่ายกองทุน!CH27"")"),0)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IFERROR(__xludf.DUMMYFUNCTION("IMPORTRANGE(""https://docs.google.com/spreadsheets/d/1-uDff_7J0KD5mKrp0Vvzr7lt3OU09vwQwhkpOPPYv2Y/edit?usp=sharing"",""งบพรบ!BT27"")"),0)</f>
        <v>0</v>
      </c>
      <c r="M147" s="224">
        <f ca="1">IFERROR(__xludf.DUMMYFUNCTION("IMPORTRANGE(""https://docs.google.com/spreadsheets/d/1-uDff_7J0KD5mKrp0Vvzr7lt3OU09vwQwhkpOPPYv2Y/edit?usp=sharing"",""งบพรบ!BW27"")"),0)</f>
        <v>0</v>
      </c>
      <c r="N147" s="224">
        <f ca="1">IFERROR(__xludf.DUMMYFUNCTION("IMPORTRANGE(""https://docs.google.com/spreadsheets/d/1-uDff_7J0KD5mKrp0Vvzr7lt3OU09vwQwhkpOPPYv2Y/edit?usp=sharing"",""งบพรบ!BY27"")"),0)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IFERROR(__xludf.DUMMYFUNCTION("IMPORTRANGE(""https://docs.google.com/spreadsheets/d/1ItG2mGa2ceCfYo0BwxsXqNm01IGEUdYcSSLTEv9YCik/edit?usp=sharing"",""เบิกจ่ายกองทุน!CI27"")"),0)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IFERROR(__xludf.DUMMYFUNCTION("IMPORTRANGE(""https://docs.google.com/spreadsheets/d/1ItG2mGa2ceCfYo0BwxsXqNm01IGEUdYcSSLTEv9YCik/edit?usp=sharing"",""เบิกจ่ายกองทุน!CJ27"")"),0)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IFERROR(__xludf.DUMMYFUNCTION("IMPORTRANGE(""https://docs.google.com/spreadsheets/d/1ItG2mGa2ceCfYo0BwxsXqNm01IGEUdYcSSLTEv9YCik/edit?usp=sharing"",""เบิกจ่ายกองทุน!CK27"")"),0)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IFERROR(__xludf.DUMMYFUNCTION("IMPORTRANGE(""https://docs.google.com/spreadsheets/d/1eHaY18a8A9IcSdp1K8H6x8fbOy06t2VsZHhMHf-1x7Y/edit?usp=sharing"",""แผน!U27"")"),0)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IFERROR(__xludf.DUMMYFUNCTION("IMPORTRANGE(""https://docs.google.com/spreadsheets/d/1eHaY18a8A9IcSdp1K8H6x8fbOy06t2VsZHhMHf-1x7Y/edit?usp=sharing"",""แผน!V27"")"),0)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IFERROR(__xludf.DUMMYFUNCTION("IMPORTRANGE(""https://docs.google.com/spreadsheets/d/1eHaY18a8A9IcSdp1K8H6x8fbOy06t2VsZHhMHf-1x7Y/edit?usp=sharing"",""แผน!W27"")"),0)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IFERROR(__xludf.DUMMYFUNCTION("IMPORTRANGE(""https://docs.google.com/spreadsheets/d/1eHaY18a8A9IcSdp1K8H6x8fbOy06t2VsZHhMHf-1x7Y/edit?usp=sharing"",""แผน!X27"")"),0)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IFERROR(__xludf.DUMMYFUNCTION("IMPORTRANGE(""https://docs.google.com/spreadsheets/d/1eHaY18a8A9IcSdp1K8H6x8fbOy06t2VsZHhMHf-1x7Y/edit?usp=sharing"",""แผน!Y27"")"),0)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16</v>
      </c>
      <c r="K156" s="755">
        <f ca="1">IF(I156&gt;0,J156*100/I156,0)</f>
        <v>106.66666666666667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3770</v>
      </c>
      <c r="N157" s="547">
        <f ca="1">N158+N159</f>
        <v>3770</v>
      </c>
      <c r="O157" s="547">
        <f ca="1">IF(L157&gt;0,N157*100/L157,0)</f>
        <v>83.777777777777771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3770</v>
      </c>
      <c r="N159" s="224">
        <f ca="1">N162+N165</f>
        <v>3770</v>
      </c>
      <c r="O159" s="224">
        <f ca="1">IF(L159&gt;0,N159*100/L159,0)</f>
        <v>83.777777777777771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3770</v>
      </c>
      <c r="N160" s="224">
        <f ca="1">N161+N162</f>
        <v>3770</v>
      </c>
      <c r="O160" s="224">
        <f ca="1">IF(L160&gt;0,N160*100/L160,0)</f>
        <v>83.777777777777771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IFERROR(__xludf.DUMMYFUNCTION("IMPORTRANGE(""https://docs.google.com/spreadsheets/d/1-uDff_7J0KD5mKrp0Vvzr7lt3OU09vwQwhkpOPPYv2Y/edit?usp=sharing"",""งบพรบ!CA27"")"),4500)</f>
        <v>4500</v>
      </c>
      <c r="M162" s="224">
        <f ca="1">IFERROR(__xludf.DUMMYFUNCTION("IMPORTRANGE(""https://docs.google.com/spreadsheets/d/1-uDff_7J0KD5mKrp0Vvzr7lt3OU09vwQwhkpOPPYv2Y/edit?usp=sharing"",""งบพรบ!CF27"")"),3770)</f>
        <v>3770</v>
      </c>
      <c r="N162" s="224">
        <f ca="1">IFERROR(__xludf.DUMMYFUNCTION("IMPORTRANGE(""https://docs.google.com/spreadsheets/d/1-uDff_7J0KD5mKrp0Vvzr7lt3OU09vwQwhkpOPPYv2Y/edit?usp=sharing"",""งบพรบ!CH27"")"),3770)</f>
        <v>3770</v>
      </c>
      <c r="O162" s="224">
        <f ca="1">IF(L162&gt;0,N162*100/L162,0)</f>
        <v>83.777777777777771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IFERROR(__xludf.DUMMYFUNCTION("IMPORTRANGE(""https://docs.google.com/spreadsheets/d/1ItG2mGa2ceCfYo0BwxsXqNm01IGEUdYcSSLTEv9YCik/edit?usp=sharing"",""เบิกจ่ายกองทุน!AO27"")"),0)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IFERROR(__xludf.DUMMYFUNCTION("IMPORTRANGE(""https://docs.google.com/spreadsheets/d/1-uDff_7J0KD5mKrp0Vvzr7lt3OU09vwQwhkpOPPYv2Y/edit?usp=sharing"",""งบพรบ!CD27"")"),0)</f>
        <v>0</v>
      </c>
      <c r="M165" s="224">
        <f ca="1">IFERROR(__xludf.DUMMYFUNCTION("IMPORTRANGE(""https://docs.google.com/spreadsheets/d/1-uDff_7J0KD5mKrp0Vvzr7lt3OU09vwQwhkpOPPYv2Y/edit?usp=sharing"",""งบพรบ!CG27"")"),0)</f>
        <v>0</v>
      </c>
      <c r="N165" s="224">
        <f ca="1">IFERROR(__xludf.DUMMYFUNCTION("IMPORTRANGE(""https://docs.google.com/spreadsheets/d/1-uDff_7J0KD5mKrp0Vvzr7lt3OU09vwQwhkpOPPYv2Y/edit?usp=sharing"",""งบพรบ!CI27"")"),0)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IFERROR(__xludf.DUMMYFUNCTION("IMPORTRANGE(""https://docs.google.com/spreadsheets/d/1eHaY18a8A9IcSdp1K8H6x8fbOy06t2VsZHhMHf-1x7Y/edit?usp=sharing"",""แผน!Z27"")"),15)</f>
        <v>15</v>
      </c>
      <c r="J167" s="380">
        <v>16</v>
      </c>
      <c r="K167" s="224">
        <f ca="1">IF(I167&gt;0,J167*100/I167,0)</f>
        <v>106.66666666666667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130770</v>
      </c>
      <c r="N173" s="547">
        <f ca="1">N174+N175</f>
        <v>129540</v>
      </c>
      <c r="O173" s="547">
        <f ca="1">IF(L173&gt;0,N173*100/L173,0)</f>
        <v>661.25574272588051</v>
      </c>
      <c r="P173" s="547">
        <f ca="1">IF(M173&gt;0,N173*100/M173,0)</f>
        <v>99.059417297545309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130770</v>
      </c>
      <c r="N175" s="224">
        <f ca="1">N178+N181</f>
        <v>129540</v>
      </c>
      <c r="O175" s="224">
        <f ca="1">IF(L175&gt;0,N175*100/L175,0)</f>
        <v>661.25574272588051</v>
      </c>
      <c r="P175" s="224">
        <f ca="1">IF(M175&gt;0,N175*100/M175,0)</f>
        <v>99.059417297545309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130770</v>
      </c>
      <c r="N176" s="224">
        <f ca="1">N177+N178</f>
        <v>129540</v>
      </c>
      <c r="O176" s="224">
        <f ca="1">IF(L176&gt;0,N176*100/L176,0)</f>
        <v>661.25574272588051</v>
      </c>
      <c r="P176" s="224">
        <f ca="1">IF(M176&gt;0,N176*100/M176,0)</f>
        <v>99.059417297545309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IFERROR(__xludf.DUMMYFUNCTION("IMPORTRANGE(""https://docs.google.com/spreadsheets/d/1-uDff_7J0KD5mKrp0Vvzr7lt3OU09vwQwhkpOPPYv2Y/edit?usp=sharing"",""งบพรบ!CK27"")"),19590)</f>
        <v>19590</v>
      </c>
      <c r="M178" s="224">
        <f ca="1">IFERROR(__xludf.DUMMYFUNCTION("IMPORTRANGE(""https://docs.google.com/spreadsheets/d/1-uDff_7J0KD5mKrp0Vvzr7lt3OU09vwQwhkpOPPYv2Y/edit?usp=sharing"",""งบพรบ!CP27"")"),130770)</f>
        <v>130770</v>
      </c>
      <c r="N178" s="224">
        <f ca="1">IFERROR(__xludf.DUMMYFUNCTION("IMPORTRANGE(""https://docs.google.com/spreadsheets/d/1-uDff_7J0KD5mKrp0Vvzr7lt3OU09vwQwhkpOPPYv2Y/edit?usp=sharing"",""งบพรบ!CR27"")"),129540)</f>
        <v>129540</v>
      </c>
      <c r="O178" s="224">
        <f ca="1">IF(L178&gt;0,N178*100/L178,0)</f>
        <v>661.25574272588051</v>
      </c>
      <c r="P178" s="224">
        <f ca="1">IF(M178&gt;0,N178*100/M178,0)</f>
        <v>99.059417297545309</v>
      </c>
      <c r="Q178" s="224">
        <f ca="1">IFERROR(__xludf.DUMMYFUNCTION("IMPORTRANGE(""https://docs.google.com/spreadsheets/d/1ItG2mGa2ceCfYo0BwxsXqNm01IGEUdYcSSLTEv9YCik/edit?usp=sharing"",""เบิกจ่ายกองทุน!DG27"")"),22960)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IFERROR(__xludf.DUMMYFUNCTION("IMPORTRANGE(""https://docs.google.com/spreadsheets/d/1ItG2mGa2ceCfYo0BwxsXqNm01IGEUdYcSSLTEv9YCik/edit?usp=sharing"",""เบิกจ่ายกองทุน!DH27"")"),22960)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IFERROR(__xludf.DUMMYFUNCTION("IMPORTRANGE(""https://docs.google.com/spreadsheets/d/1ItG2mGa2ceCfYo0BwxsXqNm01IGEUdYcSSLTEv9YCik/edit?usp=sharing"",""เบิกจ่ายกองทุน!DI27"")"),22960)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IFERROR(__xludf.DUMMYFUNCTION("IMPORTRANGE(""https://docs.google.com/spreadsheets/d/1-uDff_7J0KD5mKrp0Vvzr7lt3OU09vwQwhkpOPPYv2Y/edit?usp=sharing"",""งบพรบ!CN27"")"),0)</f>
        <v>0</v>
      </c>
      <c r="M181" s="224">
        <f ca="1">IFERROR(__xludf.DUMMYFUNCTION("IMPORTRANGE(""https://docs.google.com/spreadsheets/d/1-uDff_7J0KD5mKrp0Vvzr7lt3OU09vwQwhkpOPPYv2Y/edit?usp=sharing"",""งบพรบ!CQ27"")"),0)</f>
        <v>0</v>
      </c>
      <c r="N181" s="224">
        <f ca="1">IFERROR(__xludf.DUMMYFUNCTION("IMPORTRANGE(""https://docs.google.com/spreadsheets/d/1-uDff_7J0KD5mKrp0Vvzr7lt3OU09vwQwhkpOPPYv2Y/edit?usp=sharing"",""งบพรบ!CS27"")"),0)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IFERROR(__xludf.DUMMYFUNCTION("IMPORTRANGE(""https://docs.google.com/spreadsheets/d/1eHaY18a8A9IcSdp1K8H6x8fbOy06t2VsZHhMHf-1x7Y/edit?usp=sharing"",""แผน!AA27"")"),17)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100</v>
      </c>
      <c r="J185" s="752">
        <f>J230+J231</f>
        <v>80</v>
      </c>
      <c r="K185" s="751">
        <f ca="1">IF(I185&gt;0,J185*100/I185,0)</f>
        <v>80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757688</v>
      </c>
      <c r="M186" s="547">
        <f ca="1">M187+M188</f>
        <v>977618</v>
      </c>
      <c r="N186" s="547">
        <f ca="1">N187+N188</f>
        <v>699921.01</v>
      </c>
      <c r="O186" s="547">
        <f ca="1">IF(L186&gt;0,N186*100/L186,0)</f>
        <v>92.375886908595618</v>
      </c>
      <c r="P186" s="547">
        <f ca="1">IF(M186&gt;0,N186*100/M186,0)</f>
        <v>71.594529765204811</v>
      </c>
      <c r="Q186" s="547">
        <f ca="1">Q187+Q188</f>
        <v>42000</v>
      </c>
      <c r="R186" s="547">
        <f ca="1">R187+R188</f>
        <v>42000</v>
      </c>
      <c r="S186" s="547">
        <f ca="1">S187+S188</f>
        <v>35730</v>
      </c>
      <c r="T186" s="547">
        <f ca="1">IF(Q186&gt;0,S186*100/Q186,0)</f>
        <v>85.071428571428569</v>
      </c>
      <c r="U186" s="547">
        <f ca="1">IF(R186&gt;0,S186*100/R186,0)</f>
        <v>85.071428571428569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757688</v>
      </c>
      <c r="M188" s="224">
        <f ca="1">M191+M194</f>
        <v>977618</v>
      </c>
      <c r="N188" s="224">
        <f ca="1">N191+N194</f>
        <v>699921.01</v>
      </c>
      <c r="O188" s="224">
        <f ca="1">IF(L188&gt;0,N188*100/L188,0)</f>
        <v>92.375886908595618</v>
      </c>
      <c r="P188" s="224">
        <f ca="1">IF(M188&gt;0,N188*100/M188,0)</f>
        <v>71.594529765204811</v>
      </c>
      <c r="Q188" s="224">
        <f ca="1">Q191+Q194</f>
        <v>42000</v>
      </c>
      <c r="R188" s="224">
        <f ca="1">R191+R194</f>
        <v>42000</v>
      </c>
      <c r="S188" s="224">
        <f ca="1">S191+S194</f>
        <v>35730</v>
      </c>
      <c r="T188" s="224">
        <f ca="1">IF(Q188&gt;0,S188*100/Q188,0)</f>
        <v>85.071428571428569</v>
      </c>
      <c r="U188" s="224">
        <f ca="1">IF(R188&gt;0,S188*100/R188,0)</f>
        <v>85.071428571428569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757688</v>
      </c>
      <c r="M189" s="224">
        <f ca="1">M190+M191</f>
        <v>977618</v>
      </c>
      <c r="N189" s="224">
        <f ca="1">N190+N191</f>
        <v>699921.01</v>
      </c>
      <c r="O189" s="224">
        <f ca="1">IF(L189&gt;0,N189*100/L189,0)</f>
        <v>92.375886908595618</v>
      </c>
      <c r="P189" s="224">
        <f ca="1">IF(M189&gt;0,N189*100/M189,0)</f>
        <v>71.594529765204811</v>
      </c>
      <c r="Q189" s="224">
        <f ca="1">Q190+Q191</f>
        <v>42000</v>
      </c>
      <c r="R189" s="224">
        <f ca="1">R190+R191</f>
        <v>42000</v>
      </c>
      <c r="S189" s="224">
        <f ca="1">S190+S191</f>
        <v>35730</v>
      </c>
      <c r="T189" s="224">
        <f ca="1">IF(Q189&gt;0,S189*100/Q189,0)</f>
        <v>85.071428571428569</v>
      </c>
      <c r="U189" s="224">
        <f ca="1">IF(R189&gt;0,S189*100/R189,0)</f>
        <v>85.071428571428569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IFERROR(__xludf.DUMMYFUNCTION("IMPORTRANGE(""https://docs.google.com/spreadsheets/d/1-uDff_7J0KD5mKrp0Vvzr7lt3OU09vwQwhkpOPPYv2Y/edit?usp=sharing"",""งบพรบ!CU27"")"),757688)</f>
        <v>757688</v>
      </c>
      <c r="M191" s="224">
        <f ca="1">IFERROR(__xludf.DUMMYFUNCTION("IMPORTRANGE(""https://docs.google.com/spreadsheets/d/1-uDff_7J0KD5mKrp0Vvzr7lt3OU09vwQwhkpOPPYv2Y/edit?usp=sharing"",""งบพรบ!CZ27"")"),977618)</f>
        <v>977618</v>
      </c>
      <c r="N191" s="224">
        <f ca="1">IFERROR(__xludf.DUMMYFUNCTION("IMPORTRANGE(""https://docs.google.com/spreadsheets/d/1-uDff_7J0KD5mKrp0Vvzr7lt3OU09vwQwhkpOPPYv2Y/edit?usp=sharing"",""งบพรบ!DB27"")"),699921.01)</f>
        <v>699921.01</v>
      </c>
      <c r="O191" s="224">
        <f ca="1">IF(L191&gt;0,N191*100/L191,0)</f>
        <v>92.375886908595618</v>
      </c>
      <c r="P191" s="224">
        <f ca="1">IF(M191&gt;0,N191*100/M191,0)</f>
        <v>71.594529765204811</v>
      </c>
      <c r="Q191" s="224">
        <f ca="1">IFERROR(__xludf.DUMMYFUNCTION("IMPORTRANGE(""https://docs.google.com/spreadsheets/d/1ItG2mGa2ceCfYo0BwxsXqNm01IGEUdYcSSLTEv9YCik/edit?usp=sharing"",""เบิกจ่ายกองทุน!BQ27"")"),42000)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IFERROR(__xludf.DUMMYFUNCTION("IMPORTRANGE(""https://docs.google.com/spreadsheets/d/1ItG2mGa2ceCfYo0BwxsXqNm01IGEUdYcSSLTEv9YCik/edit?usp=sharing"",""เบิกจ่ายกองทุน!BR27"")"),42000)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IFERROR(__xludf.DUMMYFUNCTION("IMPORTRANGE(""https://docs.google.com/spreadsheets/d/1ItG2mGa2ceCfYo0BwxsXqNm01IGEUdYcSSLTEv9YCik/edit?usp=sharing"",""เบิกจ่ายกองทุน!BS27"")"),35730)</f>
        <v>35730</v>
      </c>
      <c r="T191" s="224">
        <f ca="1">IF(Q191&gt;0,S191*100/Q191,0)</f>
        <v>85.071428571428569</v>
      </c>
      <c r="U191" s="224">
        <f ca="1">IF(R191&gt;0,S191*100/R191,0)</f>
        <v>85.071428571428569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IFERROR(__xludf.DUMMYFUNCTION("IMPORTRANGE(""https://docs.google.com/spreadsheets/d/1-uDff_7J0KD5mKrp0Vvzr7lt3OU09vwQwhkpOPPYv2Y/edit?usp=sharing"",""งบพรบ!CX27"")"),0)</f>
        <v>0</v>
      </c>
      <c r="M194" s="224">
        <f ca="1">IFERROR(__xludf.DUMMYFUNCTION("IMPORTRANGE(""https://docs.google.com/spreadsheets/d/1-uDff_7J0KD5mKrp0Vvzr7lt3OU09vwQwhkpOPPYv2Y/edit?usp=sharing"",""งบพรบ!DA27"")"),0)</f>
        <v>0</v>
      </c>
      <c r="N194" s="224">
        <f ca="1">IFERROR(__xludf.DUMMYFUNCTION("IMPORTRANGE(""https://docs.google.com/spreadsheets/d/1-uDff_7J0KD5mKrp0Vvzr7lt3OU09vwQwhkpOPPYv2Y/edit?usp=sharing"",""งบพรบ!DC27"")"),0)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IFERROR(__xludf.DUMMYFUNCTION("IMPORTRANGE(""https://docs.google.com/spreadsheets/d/1ItG2mGa2ceCfYo0BwxsXqNm01IGEUdYcSSLTEv9YCik/edit?usp=sharing"",""เบิกจ่ายกองทุน!BT27"")"),0)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IFERROR(__xludf.DUMMYFUNCTION("IMPORTRANGE(""https://docs.google.com/spreadsheets/d/1ItG2mGa2ceCfYo0BwxsXqNm01IGEUdYcSSLTEv9YCik/edit?usp=sharing"",""เบิกจ่ายกองทุน!BU27"")"),0)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IFERROR(__xludf.DUMMYFUNCTION("IMPORTRANGE(""https://docs.google.com/spreadsheets/d/1ItG2mGa2ceCfYo0BwxsXqNm01IGEUdYcSSLTEv9YCik/edit?usp=sharing"",""เบิกจ่ายกองทุน!BV27"")"),0)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IFERROR(__xludf.DUMMYFUNCTION("IMPORTRANGE(""https://docs.google.com/spreadsheets/d/1eHaY18a8A9IcSdp1K8H6x8fbOy06t2VsZHhMHf-1x7Y/edit?usp=sharing"",""แผน!AB27"")"),6000)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IFERROR(__xludf.DUMMYFUNCTION("IMPORTRANGE(""https://docs.google.com/spreadsheets/d/1eHaY18a8A9IcSdp1K8H6x8fbOy06t2VsZHhMHf-1x7Y/edit?usp=sharing"",""แผน!AE27"")"),4)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17000</v>
      </c>
      <c r="O203" s="547">
        <f ca="1">IF(L203&gt;0,N203*100/L203,0)</f>
        <v>85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35730</v>
      </c>
      <c r="T203" s="747">
        <f ca="1">IF(Q203&gt;0,S203*100/Q203,0)</f>
        <v>85.071428571428569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IFERROR(__xludf.DUMMYFUNCTION("IMPORTRANGE(""https://docs.google.com/spreadsheets/d/1eHaY18a8A9IcSdp1K8H6x8fbOy06t2VsZHhMHf-1x7Y/edit?usp=sharing"",""แผน!AG27"")"),3000)</f>
        <v>3000</v>
      </c>
      <c r="M204" s="45"/>
      <c r="N204" s="737">
        <v>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IFERROR(__xludf.DUMMYFUNCTION("IMPORTRANGE(""https://docs.google.com/spreadsheets/d/1eHaY18a8A9IcSdp1K8H6x8fbOy06t2VsZHhMHf-1x7Y/edit?usp=sharing"",""แผน!AH27"")"),0)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IFERROR(__xludf.DUMMYFUNCTION("IMPORTRANGE(""https://docs.google.com/spreadsheets/d/1eHaY18a8A9IcSdp1K8H6x8fbOy06t2VsZHhMHf-1x7Y/edit?usp=sharing"",""แผน!AI27"")"),0)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IFERROR(__xludf.DUMMYFUNCTION("IMPORTRANGE(""https://docs.google.com/spreadsheets/d/1eHaY18a8A9IcSdp1K8H6x8fbOy06t2VsZHhMHf-1x7Y/edit?usp=sharing"",""แผน!LV27"")"),42000)</f>
        <v>42000</v>
      </c>
      <c r="R206" s="45"/>
      <c r="S206" s="737">
        <v>35730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IFERROR(__xludf.DUMMYFUNCTION("IMPORTRANGE(""https://docs.google.com/spreadsheets/d/1eHaY18a8A9IcSdp1K8H6x8fbOy06t2VsZHhMHf-1x7Y/edit?usp=sharing"",""แผน!AJ27"")"),17000)</f>
        <v>17000</v>
      </c>
      <c r="M207" s="45"/>
      <c r="N207" s="737">
        <v>17000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IFERROR(__xludf.DUMMYFUNCTION("IMPORTRANGE(""https://docs.google.com/spreadsheets/d/1eHaY18a8A9IcSdp1K8H6x8fbOy06t2VsZHhMHf-1x7Y/edit?usp=sharing"",""แผน!AK27"")"),3)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IFERROR(__xludf.DUMMYFUNCTION("IMPORTRANGE(""https://docs.google.com/spreadsheets/d/1eHaY18a8A9IcSdp1K8H6x8fbOy06t2VsZHhMHf-1x7Y/edit?usp=sharing"",""แผน!JX27"")"),3)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IFERROR(__xludf.DUMMYFUNCTION("IMPORTRANGE(""https://docs.google.com/spreadsheets/d/1eHaY18a8A9IcSdp1K8H6x8fbOy06t2VsZHhMHf-1x7Y/edit?usp=sharing"",""แผน!JY27"")"),1)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IFERROR(__xludf.DUMMYFUNCTION("IMPORTRANGE(""https://docs.google.com/spreadsheets/d/1eHaY18a8A9IcSdp1K8H6x8fbOy06t2VsZHhMHf-1x7Y/edit?usp=sharing"",""แผน!AM27"")"),0)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IFERROR(__xludf.DUMMYFUNCTION("IMPORTRANGE(""https://docs.google.com/spreadsheets/d/1eHaY18a8A9IcSdp1K8H6x8fbOy06t2VsZHhMHf-1x7Y/edit?usp=sharing"",""แผน!AN27"")"),0)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IFERROR(__xludf.DUMMYFUNCTION("IMPORTRANGE(""https://docs.google.com/spreadsheets/d/1eHaY18a8A9IcSdp1K8H6x8fbOy06t2VsZHhMHf-1x7Y/edit?usp=sharing"",""แผน!AO27"")"),0)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IFERROR(__xludf.DUMMYFUNCTION("IMPORTRANGE(""https://docs.google.com/spreadsheets/d/1eHaY18a8A9IcSdp1K8H6x8fbOy06t2VsZHhMHf-1x7Y/edit?usp=sharing"",""แผน!LY27"")"),0)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IFERROR(__xludf.DUMMYFUNCTION("IMPORTRANGE(""https://docs.google.com/spreadsheets/d/1eHaY18a8A9IcSdp1K8H6x8fbOy06t2VsZHhMHf-1x7Y/edit?usp=sharing"",""แผน!AP27"")"),0)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IFERROR(__xludf.DUMMYFUNCTION("IMPORTRANGE(""https://docs.google.com/spreadsheets/d/1eHaY18a8A9IcSdp1K8H6x8fbOy06t2VsZHhMHf-1x7Y/edit?usp=sharing"",""แผน!AP27"")"),0)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12500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IFERROR(__xludf.DUMMYFUNCTION("IMPORTRANGE(""https://docs.google.com/spreadsheets/d/1eHaY18a8A9IcSdp1K8H6x8fbOy06t2VsZHhMHf-1x7Y/edit?usp=sharing"",""แผน!AR27"")"),2500)</f>
        <v>2500</v>
      </c>
      <c r="M223" s="45"/>
      <c r="N223" s="737">
        <v>2700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IFERROR(__xludf.DUMMYFUNCTION("IMPORTRANGE(""https://docs.google.com/spreadsheets/d/1eHaY18a8A9IcSdp1K8H6x8fbOy06t2VsZHhMHf-1x7Y/edit?usp=sharing"",""แผน!AS27"")"),10000)</f>
        <v>10000</v>
      </c>
      <c r="M224" s="45"/>
      <c r="N224" s="737">
        <v>9800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IFERROR(__xludf.DUMMYFUNCTION("IMPORTRANGE(""https://docs.google.com/spreadsheets/d/1eHaY18a8A9IcSdp1K8H6x8fbOy06t2VsZHhMHf-1x7Y/edit?usp=sharing"",""แผน!AT27"")"),0)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IFERROR(__xludf.DUMMYFUNCTION("IMPORTRANGE(""https://docs.google.com/spreadsheets/d/1eHaY18a8A9IcSdp1K8H6x8fbOy06t2VsZHhMHf-1x7Y/edit?usp=sharing"",""แผน!AV27"")"),100000)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IFERROR(__xludf.DUMMYFUNCTION("IMPORTRANGE(""https://docs.google.com/spreadsheets/d/1eHaY18a8A9IcSdp1K8H6x8fbOy06t2VsZHhMHf-1x7Y/edit?usp=sharing"",""แผน!AV27"")"),100000)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IFERROR(__xludf.DUMMYFUNCTION("IMPORTRANGE(""https://docs.google.com/spreadsheets/d/1eHaY18a8A9IcSdp1K8H6x8fbOy06t2VsZHhMHf-1x7Y/edit?usp=sharing"",""แผน!AU27"")"),0)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7"/>
      <c r="B231" s="856"/>
      <c r="C231" s="742" t="s">
        <v>105</v>
      </c>
      <c r="D231" s="855"/>
      <c r="E231" s="855"/>
      <c r="F231" s="855"/>
      <c r="G231" s="854"/>
      <c r="H231" s="741" t="s">
        <v>35</v>
      </c>
      <c r="I231" s="740">
        <f ca="1">I242+I253</f>
        <v>100</v>
      </c>
      <c r="J231" s="740">
        <f>J242+J253</f>
        <v>80</v>
      </c>
      <c r="K231" s="739">
        <f ca="1">IF(I231&gt;0,J231*100/I231,0)</f>
        <v>80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719188</v>
      </c>
      <c r="M232" s="45"/>
      <c r="N232" s="744">
        <f>N243+N254</f>
        <v>655346.01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711"/>
      <c r="B233" s="852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413200</v>
      </c>
      <c r="M233" s="45"/>
      <c r="N233" s="83">
        <f>N244+N255</f>
        <v>46695</v>
      </c>
      <c r="O233" s="45"/>
      <c r="P233" s="45"/>
      <c r="Q233" s="743">
        <v>0</v>
      </c>
      <c r="R233" s="743">
        <v>0</v>
      </c>
      <c r="S233" s="743">
        <v>0</v>
      </c>
      <c r="T233" s="45"/>
      <c r="U233" s="45"/>
    </row>
    <row r="234" spans="1:21" ht="18.75" hidden="1" x14ac:dyDescent="0.25">
      <c r="A234" s="853"/>
      <c r="B234" s="852"/>
      <c r="C234" s="852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10000</v>
      </c>
      <c r="M234" s="45"/>
      <c r="N234" s="83">
        <f>N245+N256</f>
        <v>343260.01</v>
      </c>
      <c r="O234" s="45"/>
      <c r="P234" s="45"/>
      <c r="Q234" s="743">
        <v>0</v>
      </c>
      <c r="R234" s="743">
        <v>0</v>
      </c>
      <c r="S234" s="743">
        <v>0</v>
      </c>
      <c r="T234" s="45"/>
      <c r="U234" s="45"/>
    </row>
    <row r="235" spans="1:21" ht="18.75" hidden="1" x14ac:dyDescent="0.25">
      <c r="A235" s="853"/>
      <c r="B235" s="852"/>
      <c r="C235" s="852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170988</v>
      </c>
      <c r="M235" s="45"/>
      <c r="N235" s="83">
        <f>N246+N257</f>
        <v>140650</v>
      </c>
      <c r="O235" s="45"/>
      <c r="P235" s="45"/>
      <c r="Q235" s="743">
        <v>0</v>
      </c>
      <c r="R235" s="743">
        <v>0</v>
      </c>
      <c r="S235" s="743">
        <v>0</v>
      </c>
      <c r="T235" s="45"/>
      <c r="U235" s="45"/>
    </row>
    <row r="236" spans="1:21" ht="18.75" hidden="1" x14ac:dyDescent="0.25">
      <c r="A236" s="853"/>
      <c r="B236" s="852"/>
      <c r="C236" s="852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125000</v>
      </c>
      <c r="M236" s="45"/>
      <c r="N236" s="83">
        <f>N247+N258</f>
        <v>124741</v>
      </c>
      <c r="O236" s="45"/>
      <c r="P236" s="45"/>
      <c r="Q236" s="743">
        <v>0</v>
      </c>
      <c r="R236" s="743">
        <v>0</v>
      </c>
      <c r="S236" s="743">
        <v>0</v>
      </c>
      <c r="T236" s="45"/>
      <c r="U236" s="45"/>
    </row>
    <row r="237" spans="1:21" ht="19.5" hidden="1" x14ac:dyDescent="0.3">
      <c r="A237" s="849"/>
      <c r="B237" s="848"/>
      <c r="C237" s="736" t="s">
        <v>18</v>
      </c>
      <c r="D237" s="591" t="s">
        <v>38</v>
      </c>
      <c r="E237" s="851"/>
      <c r="F237" s="851"/>
      <c r="G237" s="850"/>
      <c r="H237" s="846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49"/>
      <c r="B238" s="848"/>
      <c r="C238" s="848"/>
      <c r="D238" s="179" t="s">
        <v>108</v>
      </c>
      <c r="E238" s="847"/>
      <c r="F238" s="847"/>
      <c r="G238" s="846"/>
      <c r="H238" s="733" t="s">
        <v>35</v>
      </c>
      <c r="I238" s="485">
        <f ca="1">I249+I260</f>
        <v>100</v>
      </c>
      <c r="J238" s="485">
        <f>J249+J260</f>
        <v>80</v>
      </c>
      <c r="K238" s="83">
        <f ca="1">IF(I238&gt;0,J238*100/I238,0)</f>
        <v>80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49"/>
      <c r="B239" s="848"/>
      <c r="C239" s="848"/>
      <c r="D239" s="735" t="s">
        <v>43</v>
      </c>
      <c r="E239" s="847"/>
      <c r="F239" s="847"/>
      <c r="G239" s="846"/>
      <c r="H239" s="846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49"/>
      <c r="B240" s="848"/>
      <c r="C240" s="848"/>
      <c r="D240" s="848"/>
      <c r="E240" s="734" t="s">
        <v>109</v>
      </c>
      <c r="F240" s="847"/>
      <c r="G240" s="846"/>
      <c r="H240" s="733" t="s">
        <v>35</v>
      </c>
      <c r="I240" s="485">
        <f ca="1">I251+I262</f>
        <v>40</v>
      </c>
      <c r="J240" s="485">
        <f>J251+J262</f>
        <v>80</v>
      </c>
      <c r="K240" s="83">
        <f ca="1">IF(I240&gt;0,J240*100/I240,0)</f>
        <v>200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49"/>
      <c r="B241" s="848"/>
      <c r="C241" s="848"/>
      <c r="D241" s="848"/>
      <c r="E241" s="734" t="s">
        <v>110</v>
      </c>
      <c r="F241" s="847"/>
      <c r="G241" s="846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5"/>
      <c r="B242" s="844"/>
      <c r="C242" s="843" t="s">
        <v>341</v>
      </c>
      <c r="D242" s="842"/>
      <c r="E242" s="842"/>
      <c r="F242" s="842"/>
      <c r="G242" s="841"/>
      <c r="H242" s="840" t="s">
        <v>35</v>
      </c>
      <c r="I242" s="839">
        <f ca="1">I249</f>
        <v>100</v>
      </c>
      <c r="J242" s="839">
        <f>J249</f>
        <v>80</v>
      </c>
      <c r="K242" s="838">
        <f ca="1">IF(I242&gt;0,J242*100/I242,0)</f>
        <v>80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719188</v>
      </c>
      <c r="M243" s="45"/>
      <c r="N243" s="547">
        <f>N244+N245+N246+N247</f>
        <v>655346.01</v>
      </c>
      <c r="O243" s="547">
        <f ca="1">IF(L243&gt;0,N243*100/L243,0)</f>
        <v>91.123045712664833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IFERROR(__xludf.DUMMYFUNCTION("IMPORTRANGE(""https://docs.google.com/spreadsheets/d/1eHaY18a8A9IcSdp1K8H6x8fbOy06t2VsZHhMHf-1x7Y/edit?usp=sharing"",""แผน!AX27"")"),413200)</f>
        <v>413200</v>
      </c>
      <c r="M244" s="45"/>
      <c r="N244" s="737">
        <v>46695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658"/>
      <c r="B245" s="402"/>
      <c r="C245" s="402"/>
      <c r="D245" s="47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IFERROR(__xludf.DUMMYFUNCTION("IMPORTRANGE(""https://docs.google.com/spreadsheets/d/1eHaY18a8A9IcSdp1K8H6x8fbOy06t2VsZHhMHf-1x7Y/edit?usp=sharing"",""แผน!AY27"")"),10000)</f>
        <v>10000</v>
      </c>
      <c r="M245" s="45"/>
      <c r="N245" s="737">
        <v>343260.01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IFERROR(__xludf.DUMMYFUNCTION("IMPORTRANGE(""https://docs.google.com/spreadsheets/d/1eHaY18a8A9IcSdp1K8H6x8fbOy06t2VsZHhMHf-1x7Y/edit?usp=sharing"",""แผน!AZ27"")"),170988)</f>
        <v>170988</v>
      </c>
      <c r="M246" s="45"/>
      <c r="N246" s="737">
        <v>140650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IFERROR(__xludf.DUMMYFUNCTION("IMPORTRANGE(""https://docs.google.com/spreadsheets/d/1eHaY18a8A9IcSdp1K8H6x8fbOy06t2VsZHhMHf-1x7Y/edit?usp=sharing"",""แผน!BA27"")"),125000)</f>
        <v>125000</v>
      </c>
      <c r="M247" s="45"/>
      <c r="N247" s="737">
        <v>124741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6" t="s">
        <v>35</v>
      </c>
      <c r="I249" s="559">
        <f ca="1">IFERROR(__xludf.DUMMYFUNCTION("IMPORTRANGE(""https://docs.google.com/spreadsheets/d/1eHaY18a8A9IcSdp1K8H6x8fbOy06t2VsZHhMHf-1x7Y/edit?usp=sharing"",""แผน!BG27"")"),100)</f>
        <v>100</v>
      </c>
      <c r="J249" s="555">
        <v>80</v>
      </c>
      <c r="K249" s="558">
        <f ca="1">IF(I249&gt;0,J249*100/I249,0)</f>
        <v>80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7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6" t="s">
        <v>35</v>
      </c>
      <c r="I251" s="559">
        <f ca="1">IFERROR(__xludf.DUMMYFUNCTION("IMPORTRANGE(""https://docs.google.com/spreadsheets/d/1eHaY18a8A9IcSdp1K8H6x8fbOy06t2VsZHhMHf-1x7Y/edit?usp=sharing"",""แผน!KH27"")"),40)</f>
        <v>40</v>
      </c>
      <c r="J251" s="555">
        <v>80</v>
      </c>
      <c r="K251" s="558">
        <f ca="1">IF(I251&gt;0,J251*100/I251,0)</f>
        <v>200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6" t="s">
        <v>61</v>
      </c>
      <c r="I252" s="559">
        <f ca="1">IFERROR(__xludf.DUMMYFUNCTION("IMPORTRANGE(""https://docs.google.com/spreadsheets/d/1eHaY18a8A9IcSdp1K8H6x8fbOy06t2VsZHhMHf-1x7Y/edit?usp=sharing"",""แผน!KI27"")"),1)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378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IFERROR(__xludf.DUMMYFUNCTION("IMPORTRANGE(""https://docs.google.com/spreadsheets/d/1eHaY18a8A9IcSdp1K8H6x8fbOy06t2VsZHhMHf-1x7Y/edit?usp=sharing"",""แผน!BB27"")"),0)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IFERROR(__xludf.DUMMYFUNCTION("IMPORTRANGE(""https://docs.google.com/spreadsheets/d/1eHaY18a8A9IcSdp1K8H6x8fbOy06t2VsZHhMHf-1x7Y/edit?usp=sharing"",""แผน!BC27"")"),0)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IFERROR(__xludf.DUMMYFUNCTION("IMPORTRANGE(""https://docs.google.com/spreadsheets/d/1eHaY18a8A9IcSdp1K8H6x8fbOy06t2VsZHhMHf-1x7Y/edit?usp=sharing"",""แผน!BD27"")"),0)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IFERROR(__xludf.DUMMYFUNCTION("IMPORTRANGE(""https://docs.google.com/spreadsheets/d/1eHaY18a8A9IcSdp1K8H6x8fbOy06t2VsZHhMHf-1x7Y/edit?usp=sharing"",""แผน!BE27"")"),0)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IFERROR(__xludf.DUMMYFUNCTION("IMPORTRANGE(""https://docs.google.com/spreadsheets/d/1eHaY18a8A9IcSdp1K8H6x8fbOy06t2VsZHhMHf-1x7Y/edit?usp=sharing"",""แผน!BH27"")"),0)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21500</v>
      </c>
      <c r="N266" s="715">
        <f ca="1">N267+N268</f>
        <v>17110</v>
      </c>
      <c r="O266" s="715">
        <f ca="1">IF(L266&gt;0,N266*100/L266,0)</f>
        <v>342.2</v>
      </c>
      <c r="P266" s="715">
        <f ca="1">IF(M266&gt;0,N266*100/M266,0)</f>
        <v>79.581395348837205</v>
      </c>
      <c r="Q266" s="715">
        <f ca="1">Q267+Q268</f>
        <v>50660</v>
      </c>
      <c r="R266" s="715">
        <f ca="1">R267+R268</f>
        <v>50660</v>
      </c>
      <c r="S266" s="715">
        <f ca="1">S267+S268</f>
        <v>45611</v>
      </c>
      <c r="T266" s="715">
        <f ca="1">IF(Q266&gt;0,S266*100/Q266,0)</f>
        <v>90.033557046979865</v>
      </c>
      <c r="U266" s="715">
        <f ca="1">IF(R266&gt;0,S266*100/R266,0)</f>
        <v>90.033557046979865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21500</v>
      </c>
      <c r="N268" s="558">
        <f ca="1">N271+N274</f>
        <v>17110</v>
      </c>
      <c r="O268" s="558">
        <f ca="1">IF(L268&gt;0,N268*100/L268,0)</f>
        <v>342.2</v>
      </c>
      <c r="P268" s="558">
        <f ca="1">IF(M268&gt;0,N268*100/M268,0)</f>
        <v>79.581395348837205</v>
      </c>
      <c r="Q268" s="558">
        <f ca="1">Q271+Q274</f>
        <v>50660</v>
      </c>
      <c r="R268" s="558">
        <f ca="1">R271+R274</f>
        <v>50660</v>
      </c>
      <c r="S268" s="558">
        <f ca="1">S271+S274</f>
        <v>45611</v>
      </c>
      <c r="T268" s="558">
        <f ca="1">IF(Q268&gt;0,S268*100/Q268,0)</f>
        <v>90.033557046979865</v>
      </c>
      <c r="U268" s="558">
        <f ca="1">IF(R268&gt;0,S268*100/R268,0)</f>
        <v>90.033557046979865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21500</v>
      </c>
      <c r="N269" s="558">
        <f ca="1">N270+N271</f>
        <v>17110</v>
      </c>
      <c r="O269" s="558">
        <f ca="1">IF(L269&gt;0,N269*100/L269,0)</f>
        <v>342.2</v>
      </c>
      <c r="P269" s="558">
        <f ca="1">IF(M269&gt;0,N269*100/M269,0)</f>
        <v>79.581395348837205</v>
      </c>
      <c r="Q269" s="558">
        <f ca="1">Q270+Q271</f>
        <v>50660</v>
      </c>
      <c r="R269" s="558">
        <f ca="1">R270+R271</f>
        <v>50660</v>
      </c>
      <c r="S269" s="558">
        <f ca="1">S270+S271</f>
        <v>45611</v>
      </c>
      <c r="T269" s="558">
        <f ca="1">IF(Q269&gt;0,S269*100/Q269,0)</f>
        <v>90.033557046979865</v>
      </c>
      <c r="U269" s="558">
        <f ca="1">IF(R269&gt;0,S269*100/R269,0)</f>
        <v>90.033557046979865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IFERROR(__xludf.DUMMYFUNCTION("IMPORTRANGE(""https://docs.google.com/spreadsheets/d/1-uDff_7J0KD5mKrp0Vvzr7lt3OU09vwQwhkpOPPYv2Y/edit?usp=sharing"",""งบพรบ!DE27"")"),5000)</f>
        <v>5000</v>
      </c>
      <c r="M271" s="558">
        <f ca="1">IFERROR(__xludf.DUMMYFUNCTION("IMPORTRANGE(""https://docs.google.com/spreadsheets/d/1-uDff_7J0KD5mKrp0Vvzr7lt3OU09vwQwhkpOPPYv2Y/edit?usp=sharing"",""งบพรบ!DJ27"")"),21500)</f>
        <v>21500</v>
      </c>
      <c r="N271" s="558">
        <f ca="1">IFERROR(__xludf.DUMMYFUNCTION("IMPORTRANGE(""https://docs.google.com/spreadsheets/d/1-uDff_7J0KD5mKrp0Vvzr7lt3OU09vwQwhkpOPPYv2Y/edit?usp=sharing"",""งบพรบ!DL27"")"),17110)</f>
        <v>17110</v>
      </c>
      <c r="O271" s="558">
        <f ca="1">IF(L271&gt;0,N271*100/L271,0)</f>
        <v>342.2</v>
      </c>
      <c r="P271" s="558">
        <f ca="1">IF(M271&gt;0,N271*100/M271,0)</f>
        <v>79.581395348837205</v>
      </c>
      <c r="Q271" s="558">
        <f ca="1">IFERROR(__xludf.DUMMYFUNCTION("IMPORTRANGE(""https://docs.google.com/spreadsheets/d/1ItG2mGa2ceCfYo0BwxsXqNm01IGEUdYcSSLTEv9YCik/edit?usp=sharing"",""เบิกจ่ายกองทุน!AP27"")"),50660)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IFERROR(__xludf.DUMMYFUNCTION("IMPORTRANGE(""https://docs.google.com/spreadsheets/d/1ItG2mGa2ceCfYo0BwxsXqNm01IGEUdYcSSLTEv9YCik/edit?usp=sharing"",""เบิกจ่ายกองทุน!AQ27"")"),50660)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IFERROR(__xludf.DUMMYFUNCTION("IMPORTRANGE(""https://docs.google.com/spreadsheets/d/1ItG2mGa2ceCfYo0BwxsXqNm01IGEUdYcSSLTEv9YCik/edit?usp=sharing"",""เบิกจ่ายกองทุน!AR27"")"),45611)</f>
        <v>45611</v>
      </c>
      <c r="T271" s="558">
        <f ca="1">IF(Q271&gt;0,S271*100/Q271,0)</f>
        <v>90.033557046979865</v>
      </c>
      <c r="U271" s="558">
        <f ca="1">IF(R271&gt;0,S271*100/R271,0)</f>
        <v>90.033557046979865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IFERROR(__xludf.DUMMYFUNCTION("IMPORTRANGE(""https://docs.google.com/spreadsheets/d/1-uDff_7J0KD5mKrp0Vvzr7lt3OU09vwQwhkpOPPYv2Y/edit?usp=sharing"",""งบพรบ!DH27"")"),0)</f>
        <v>0</v>
      </c>
      <c r="M274" s="558">
        <f ca="1">IFERROR(__xludf.DUMMYFUNCTION("IMPORTRANGE(""https://docs.google.com/spreadsheets/d/1-uDff_7J0KD5mKrp0Vvzr7lt3OU09vwQwhkpOPPYv2Y/edit?usp=sharing"",""งบพรบ!DK27"")"),0)</f>
        <v>0</v>
      </c>
      <c r="N274" s="558">
        <f ca="1">IFERROR(__xludf.DUMMYFUNCTION("IMPORTRANGE(""https://docs.google.com/spreadsheets/d/1-uDff_7J0KD5mKrp0Vvzr7lt3OU09vwQwhkpOPPYv2Y/edit?usp=sharing"",""งบพรบ!DM27"")"),0)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IFERROR(__xludf.DUMMYFUNCTION("IMPORTRANGE(""https://docs.google.com/spreadsheets/d/1eHaY18a8A9IcSdp1K8H6x8fbOy06t2VsZHhMHf-1x7Y/edit?usp=sharing"",""แผน!EC27"")"),22)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12</v>
      </c>
      <c r="K280" s="696">
        <f ca="1">IF(I280&gt;0,J280*100/I280,0)</f>
        <v>120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68730</v>
      </c>
      <c r="N282" s="547">
        <f ca="1">N283+N284</f>
        <v>49100</v>
      </c>
      <c r="O282" s="547">
        <f ca="1">IF(L282&gt;0,N282*100/L282,0)</f>
        <v>87.49109052031362</v>
      </c>
      <c r="P282" s="547">
        <f ca="1">IF(M282&gt;0,N282*100/M282,0)</f>
        <v>71.43896406227266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68730</v>
      </c>
      <c r="N284" s="224">
        <f ca="1">N287+N290</f>
        <v>49100</v>
      </c>
      <c r="O284" s="224">
        <f ca="1">IF(L284&gt;0,N284*100/L284,0)</f>
        <v>87.49109052031362</v>
      </c>
      <c r="P284" s="224">
        <f ca="1">IF(M284&gt;0,N284*100/M284,0)</f>
        <v>71.43896406227266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68730</v>
      </c>
      <c r="N285" s="224">
        <f ca="1">N286+N287</f>
        <v>49100</v>
      </c>
      <c r="O285" s="224">
        <f ca="1">IF(L285&gt;0,N285*100/L285,0)</f>
        <v>87.49109052031362</v>
      </c>
      <c r="P285" s="224">
        <f ca="1">IF(M285&gt;0,N285*100/M285,0)</f>
        <v>71.43896406227266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IFERROR(__xludf.DUMMYFUNCTION("IMPORTRANGE(""https://docs.google.com/spreadsheets/d/1-uDff_7J0KD5mKrp0Vvzr7lt3OU09vwQwhkpOPPYv2Y/edit?usp=sharing"",""งบพรบ!DO27"")"),56120)</f>
        <v>56120</v>
      </c>
      <c r="M287" s="224">
        <f ca="1">IFERROR(__xludf.DUMMYFUNCTION("IMPORTRANGE(""https://docs.google.com/spreadsheets/d/1-uDff_7J0KD5mKrp0Vvzr7lt3OU09vwQwhkpOPPYv2Y/edit?usp=sharing"",""งบพรบ!DT27"")"),68730)</f>
        <v>68730</v>
      </c>
      <c r="N287" s="224">
        <f ca="1">IFERROR(__xludf.DUMMYFUNCTION("IMPORTRANGE(""https://docs.google.com/spreadsheets/d/1-uDff_7J0KD5mKrp0Vvzr7lt3OU09vwQwhkpOPPYv2Y/edit?usp=sharing"",""งบพรบ!DV27"")"),49100)</f>
        <v>49100</v>
      </c>
      <c r="O287" s="224">
        <f ca="1">IF(L287&gt;0,N287*100/L287,0)</f>
        <v>87.49109052031362</v>
      </c>
      <c r="P287" s="224">
        <f ca="1">IF(M287&gt;0,N287*100/M287,0)</f>
        <v>71.43896406227266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IFERROR(__xludf.DUMMYFUNCTION("IMPORTRANGE(""https://docs.google.com/spreadsheets/d/1-uDff_7J0KD5mKrp0Vvzr7lt3OU09vwQwhkpOPPYv2Y/edit?usp=sharing"",""งบพรบ!DR27"")"),0)</f>
        <v>0</v>
      </c>
      <c r="M290" s="224">
        <f ca="1">IFERROR(__xludf.DUMMYFUNCTION("IMPORTRANGE(""https://docs.google.com/spreadsheets/d/1-uDff_7J0KD5mKrp0Vvzr7lt3OU09vwQwhkpOPPYv2Y/edit?usp=sharing"",""งบพรบ!DU27"")"),0)</f>
        <v>0</v>
      </c>
      <c r="N290" s="224">
        <f ca="1">IFERROR(__xludf.DUMMYFUNCTION("IMPORTRANGE(""https://docs.google.com/spreadsheets/d/1-uDff_7J0KD5mKrp0Vvzr7lt3OU09vwQwhkpOPPYv2Y/edit?usp=sharing"",""งบพรบ!DW27"")"),0)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IFERROR(__xludf.DUMMYFUNCTION("IMPORTRANGE(""https://docs.google.com/spreadsheets/d/1eHaY18a8A9IcSdp1K8H6x8fbOy06t2VsZHhMHf-1x7Y/edit?usp=sharing"",""แผน!EE27"")"),100)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IFERROR(__xludf.DUMMYFUNCTION("IMPORTRANGE(""https://docs.google.com/spreadsheets/d/1eHaY18a8A9IcSdp1K8H6x8fbOy06t2VsZHhMHf-1x7Y/edit?usp=sharing"",""แผน!ED27"")"),10)</f>
        <v>10</v>
      </c>
      <c r="J293" s="338">
        <f>J296</f>
        <v>12</v>
      </c>
      <c r="K293" s="694">
        <f ca="1">IF(I293&gt;0,J293*100/I293,0)</f>
        <v>120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IFERROR(__xludf.DUMMYFUNCTION("IMPORTRANGE(""https://docs.google.com/spreadsheets/d/1eHaY18a8A9IcSdp1K8H6x8fbOy06t2VsZHhMHf-1x7Y/edit?usp=sharing"",""แผน!ED27"")"),10)</f>
        <v>10</v>
      </c>
      <c r="J295" s="380">
        <v>12</v>
      </c>
      <c r="K295" s="569">
        <f ca="1">IF(I295&gt;0,J295*100/I295,0)</f>
        <v>120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IFERROR(__xludf.DUMMYFUNCTION("IMPORTRANGE(""https://docs.google.com/spreadsheets/d/1eHaY18a8A9IcSdp1K8H6x8fbOy06t2VsZHhMHf-1x7Y/edit?usp=sharing"",""แผน!ED27"")"),10)</f>
        <v>10</v>
      </c>
      <c r="J296" s="380">
        <v>12</v>
      </c>
      <c r="K296" s="569">
        <f ca="1">IF(I296&gt;0,J296*100/I296,0)</f>
        <v>120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IFERROR(__xludf.DUMMYFUNCTION("IMPORTRANGE(""https://docs.google.com/spreadsheets/d/1eHaY18a8A9IcSdp1K8H6x8fbOy06t2VsZHhMHf-1x7Y/edit?usp=sharing"",""แผน!ED27"")"),10)</f>
        <v>10</v>
      </c>
      <c r="J298" s="380">
        <v>12</v>
      </c>
      <c r="K298" s="569">
        <f ca="1">IF(I298&gt;0,J298*100/I298,0)</f>
        <v>120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IFERROR(__xludf.DUMMYFUNCTION("IMPORTRANGE(""https://docs.google.com/spreadsheets/d/1eHaY18a8A9IcSdp1K8H6x8fbOy06t2VsZHhMHf-1x7Y/edit?usp=sharing"",""แผน!ED27"")"),10)</f>
        <v>10</v>
      </c>
      <c r="J299" s="380">
        <v>12</v>
      </c>
      <c r="K299" s="569">
        <f ca="1">IF(I299&gt;0,J299*100/I299,0)</f>
        <v>120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232295</v>
      </c>
      <c r="T303" s="547">
        <f ca="1">IF(Q303&gt;0,S303*100/Q303,0)</f>
        <v>101.84116390953801</v>
      </c>
      <c r="U303" s="547">
        <f ca="1">IF(R303&gt;0,S303*100/R303,0)</f>
        <v>100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232295</v>
      </c>
      <c r="T305" s="224">
        <f ca="1">IF(Q305&gt;0,S305*100/Q305,0)</f>
        <v>101.84116390953801</v>
      </c>
      <c r="U305" s="224">
        <f ca="1">IF(R305&gt;0,S305*100/R305,0)</f>
        <v>100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232295</v>
      </c>
      <c r="T306" s="224">
        <f ca="1">IF(Q306&gt;0,S306*100/Q306,0)</f>
        <v>101.84116390953801</v>
      </c>
      <c r="U306" s="224">
        <f ca="1">IF(R306&gt;0,S306*100/R306,0)</f>
        <v>100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IFERROR(__xludf.DUMMYFUNCTION("IMPORTRANGE(""https://docs.google.com/spreadsheets/d/1-uDff_7J0KD5mKrp0Vvzr7lt3OU09vwQwhkpOPPYv2Y/edit?usp=sharing"",""งบพรบ!DY27"")"),0)</f>
        <v>0</v>
      </c>
      <c r="M308" s="224">
        <f ca="1">IFERROR(__xludf.DUMMYFUNCTION("IMPORTRANGE(""https://docs.google.com/spreadsheets/d/1-uDff_7J0KD5mKrp0Vvzr7lt3OU09vwQwhkpOPPYv2Y/edit?usp=sharing"",""งบพรบ!ED27"")"),0)</f>
        <v>0</v>
      </c>
      <c r="N308" s="224">
        <f ca="1">IFERROR(__xludf.DUMMYFUNCTION("IMPORTRANGE(""https://docs.google.com/spreadsheets/d/1-uDff_7J0KD5mKrp0Vvzr7lt3OU09vwQwhkpOPPYv2Y/edit?usp=sharing"",""งบพรบ!EF27"")"),0)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IFERROR(__xludf.DUMMYFUNCTION("IMPORTRANGE(""https://docs.google.com/spreadsheets/d/1ItG2mGa2ceCfYo0BwxsXqNm01IGEUdYcSSLTEv9YCik/edit?usp=sharing"",""เบิกจ่ายกองทุน!BB27"")"),228095.39)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IFERROR(__xludf.DUMMYFUNCTION("IMPORTRANGE(""https://docs.google.com/spreadsheets/d/1ItG2mGa2ceCfYo0BwxsXqNm01IGEUdYcSSLTEv9YCik/edit?usp=sharing"",""เบิกจ่ายกองทุน!BC27"")"),232295)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IFERROR(__xludf.DUMMYFUNCTION("IMPORTRANGE(""https://docs.google.com/spreadsheets/d/1ItG2mGa2ceCfYo0BwxsXqNm01IGEUdYcSSLTEv9YCik/edit?usp=sharing"",""เบิกจ่ายกองทุน!BD27"")"),232295)</f>
        <v>232295</v>
      </c>
      <c r="T308" s="224">
        <f ca="1">IF(Q308&gt;0,S308*100/Q308,0)</f>
        <v>101.84116390953801</v>
      </c>
      <c r="U308" s="224">
        <f ca="1">IF(R308&gt;0,S308*100/R308,0)</f>
        <v>100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IFERROR(__xludf.DUMMYFUNCTION("IMPORTRANGE(""https://docs.google.com/spreadsheets/d/1-uDff_7J0KD5mKrp0Vvzr7lt3OU09vwQwhkpOPPYv2Y/edit?usp=sharing"",""งบพรบ!EB27"")"),0)</f>
        <v>0</v>
      </c>
      <c r="M311" s="224">
        <f ca="1">IFERROR(__xludf.DUMMYFUNCTION("IMPORTRANGE(""https://docs.google.com/spreadsheets/d/1-uDff_7J0KD5mKrp0Vvzr7lt3OU09vwQwhkpOPPYv2Y/edit?usp=sharing"",""งบพรบ!EE27"")"),0)</f>
        <v>0</v>
      </c>
      <c r="N311" s="224">
        <f ca="1">IFERROR(__xludf.DUMMYFUNCTION("IMPORTRANGE(""https://docs.google.com/spreadsheets/d/1-uDff_7J0KD5mKrp0Vvzr7lt3OU09vwQwhkpOPPYv2Y/edit?usp=sharing"",""งบพรบ!EG27"")"),0)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IFERROR(__xludf.DUMMYFUNCTION("IMPORTRANGE(""https://docs.google.com/spreadsheets/d/1eHaY18a8A9IcSdp1K8H6x8fbOy06t2VsZHhMHf-1x7Y/edit?usp=sharing"",""แผน!EF27"")"),25)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IFERROR(__xludf.DUMMYFUNCTION("IMPORTRANGE(""https://docs.google.com/spreadsheets/d/1-uDff_7J0KD5mKrp0Vvzr7lt3OU09vwQwhkpOPPYv2Y/edit?usp=sharing"",""งบพรบ!EI27"")"),0)</f>
        <v>0</v>
      </c>
      <c r="M325" s="224">
        <f ca="1">IFERROR(__xludf.DUMMYFUNCTION("IMPORTRANGE(""https://docs.google.com/spreadsheets/d/1-uDff_7J0KD5mKrp0Vvzr7lt3OU09vwQwhkpOPPYv2Y/edit?usp=sharing"",""งบพรบ!EN27"")"),0)</f>
        <v>0</v>
      </c>
      <c r="N325" s="224">
        <f ca="1">IFERROR(__xludf.DUMMYFUNCTION("IMPORTRANGE(""https://docs.google.com/spreadsheets/d/1-uDff_7J0KD5mKrp0Vvzr7lt3OU09vwQwhkpOPPYv2Y/edit?usp=sharing"",""งบพรบ!EP27"")"),0)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IFERROR(__xludf.DUMMYFUNCTION("IMPORTRANGE(""https://docs.google.com/spreadsheets/d/1-uDff_7J0KD5mKrp0Vvzr7lt3OU09vwQwhkpOPPYv2Y/edit?usp=sharing"",""งบพรบ!EL27"")"),0)</f>
        <v>0</v>
      </c>
      <c r="M328" s="224">
        <f ca="1">IFERROR(__xludf.DUMMYFUNCTION("IMPORTRANGE(""https://docs.google.com/spreadsheets/d/1-uDff_7J0KD5mKrp0Vvzr7lt3OU09vwQwhkpOPPYv2Y/edit?usp=sharing"",""งบพรบ!EO27"")"),0)</f>
        <v>0</v>
      </c>
      <c r="N328" s="224">
        <f ca="1">IFERROR(__xludf.DUMMYFUNCTION("IMPORTRANGE(""https://docs.google.com/spreadsheets/d/1-uDff_7J0KD5mKrp0Vvzr7lt3OU09vwQwhkpOPPYv2Y/edit?usp=sharing"",""งบพรบ!EQ27"")"),0)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IFERROR(__xludf.DUMMYFUNCTION("IMPORTRANGE(""https://docs.google.com/spreadsheets/d/1eHaY18a8A9IcSdp1K8H6x8fbOy06t2VsZHhMHf-1x7Y/edit?usp=sharing"",""แผน!EJ27"")"),0)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IFERROR(__xludf.DUMMYFUNCTION("IMPORTRANGE(""https://docs.google.com/spreadsheets/d/1eHaY18a8A9IcSdp1K8H6x8fbOy06t2VsZHhMHf-1x7Y/edit?usp=sharing"",""แผน!EK27"")"),700)</f>
        <v>700</v>
      </c>
      <c r="J332" s="300">
        <f ca="1">J344+J347+J348+J349+J353+J354</f>
        <v>3887</v>
      </c>
      <c r="K332" s="679">
        <f ca="1">IF(I332&gt;0,J332*100/I332,0)</f>
        <v>555.28571428571433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152401.73000000001</v>
      </c>
      <c r="O333" s="547">
        <f ca="1">IF(L333&gt;0,N333*100/L333,0)</f>
        <v>84.667627777777781</v>
      </c>
      <c r="P333" s="547">
        <f ca="1">IF(M333&gt;0,N333*100/M333,0)</f>
        <v>84.667627777777781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152401.73000000001</v>
      </c>
      <c r="O335" s="224">
        <f ca="1">IF(L335&gt;0,N335*100/L335,0)</f>
        <v>84.667627777777781</v>
      </c>
      <c r="P335" s="224">
        <f ca="1">IF(M335&gt;0,N335*100/M335,0)</f>
        <v>84.667627777777781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152401.73000000001</v>
      </c>
      <c r="O336" s="224">
        <f ca="1">IF(L336&gt;0,N336*100/L336,0)</f>
        <v>84.667627777777781</v>
      </c>
      <c r="P336" s="224">
        <f ca="1">IF(M336&gt;0,N336*100/M336,0)</f>
        <v>84.667627777777781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IFERROR(__xludf.DUMMYFUNCTION("IMPORTRANGE(""https://docs.google.com/spreadsheets/d/1-uDff_7J0KD5mKrp0Vvzr7lt3OU09vwQwhkpOPPYv2Y/edit?usp=sharing"",""งบพรบ!ES27"")"),180000)</f>
        <v>180000</v>
      </c>
      <c r="M338" s="224">
        <f ca="1">IFERROR(__xludf.DUMMYFUNCTION("IMPORTRANGE(""https://docs.google.com/spreadsheets/d/1-uDff_7J0KD5mKrp0Vvzr7lt3OU09vwQwhkpOPPYv2Y/edit?usp=sharing"",""งบพรบ!EX27"")"),180000)</f>
        <v>180000</v>
      </c>
      <c r="N338" s="224">
        <f ca="1">IFERROR(__xludf.DUMMYFUNCTION("IMPORTRANGE(""https://docs.google.com/spreadsheets/d/1-uDff_7J0KD5mKrp0Vvzr7lt3OU09vwQwhkpOPPYv2Y/edit?usp=sharing"",""งบพรบ!EZ27"")"),152401.73)</f>
        <v>152401.73000000001</v>
      </c>
      <c r="O338" s="224">
        <f ca="1">IF(L338&gt;0,N338*100/L338,0)</f>
        <v>84.667627777777781</v>
      </c>
      <c r="P338" s="224">
        <f ca="1">IF(M338&gt;0,N338*100/M338,0)</f>
        <v>84.667627777777781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IFERROR(__xludf.DUMMYFUNCTION("IMPORTRANGE(""https://docs.google.com/spreadsheets/d/1-uDff_7J0KD5mKrp0Vvzr7lt3OU09vwQwhkpOPPYv2Y/edit?usp=sharing"",""งบพรบ!EV27"")"),0)</f>
        <v>0</v>
      </c>
      <c r="M341" s="224">
        <f ca="1">IFERROR(__xludf.DUMMYFUNCTION("IMPORTRANGE(""https://docs.google.com/spreadsheets/d/1-uDff_7J0KD5mKrp0Vvzr7lt3OU09vwQwhkpOPPYv2Y/edit?usp=sharing"",""งบพรบ!EY27"")"),0)</f>
        <v>0</v>
      </c>
      <c r="N341" s="224">
        <f ca="1">IFERROR(__xludf.DUMMYFUNCTION("IMPORTRANGE(""https://docs.google.com/spreadsheets/d/1-uDff_7J0KD5mKrp0Vvzr7lt3OU09vwQwhkpOPPYv2Y/edit?usp=sharing"",""งบพรบ!FA27"")"),0)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457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IFERROR(__xludf.DUMMYFUNCTION("IMPORTRANGE(""https://docs.google.com/spreadsheets/d/1awYsYK3VOup2i3Pq_Yjnu8DRu_mYwSBnCR2QPthd0rU/edit?usp=sharing"",""ศูนย์ยกเว้นโฉนด!D27"")"),342)</f>
        <v>342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IFERROR(__xludf.DUMMYFUNCTION("IMPORTRANGE(""https://docs.google.com/spreadsheets/d/1eHaY18a8A9IcSdp1K8H6x8fbOy06t2VsZHhMHf-1x7Y/edit?usp=sharing"",""แผน!EL27"")"),6)</f>
        <v>6</v>
      </c>
      <c r="J346" s="184">
        <f ca="1">IFERROR(__xludf.DUMMYFUNCTION("IMPORTRANGE(""https://docs.google.com/spreadsheets/d/1awYsYK3VOup2i3Pq_Yjnu8DRu_mYwSBnCR2QPthd0rU/edit?usp=sharing"",""ศูนย์รวม!E27"")"),0)</f>
        <v>0</v>
      </c>
      <c r="K346" s="224">
        <f ca="1">IF(I346&gt;0,J346*100/I346,0)</f>
        <v>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IFERROR(__xludf.DUMMYFUNCTION("IMPORTRANGE(""https://docs.google.com/spreadsheets/d/1awYsYK3VOup2i3Pq_Yjnu8DRu_mYwSBnCR2QPthd0rU/edit?usp=sharing"",""ศูนย์ยกเว้นโฉนด!F27"")"),0)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IFERROR(__xludf.DUMMYFUNCTION("IMPORTRANGE(""https://docs.google.com/spreadsheets/d/1awYsYK3VOup2i3Pq_Yjnu8DRu_mYwSBnCR2QPthd0rU/edit?usp=sharing"",""ศูนย์ยกเว้นโฉนด!G27"")"),115)</f>
        <v>115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IFERROR(__xludf.DUMMYFUNCTION("IMPORTRANGE(""https://docs.google.com/spreadsheets/d/1awYsYK3VOup2i3Pq_Yjnu8DRu_mYwSBnCR2QPthd0rU/edit?usp=sharing"",""ศูนย์ยกเว้นโฉนด!H27"")"),0)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3430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IFERROR(__xludf.DUMMYFUNCTION("IMPORTRANGE(""https://docs.google.com/spreadsheets/d/1awYsYK3VOup2i3Pq_Yjnu8DRu_mYwSBnCR2QPthd0rU/edit?usp=sharing"",""โฉนดM3!G27"")"),4)</f>
        <v>4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IFERROR(__xludf.DUMMYFUNCTION("IMPORTRANGE(""https://docs.google.com/spreadsheets/d/1awYsYK3VOup2i3Pq_Yjnu8DRu_mYwSBnCR2QPthd0rU/edit?usp=sharing"",""โฉนดM3!H27"")"),2900)</f>
        <v>2900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IFERROR(__xludf.DUMMYFUNCTION("IMPORTRANGE(""https://docs.google.com/spreadsheets/d/1awYsYK3VOup2i3Pq_Yjnu8DRu_mYwSBnCR2QPthd0rU/edit?usp=sharing"",""โฉนดM3!I27"")"),530)</f>
        <v>530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346210</v>
      </c>
      <c r="M356" s="547">
        <f ca="1">M357+M358</f>
        <v>484710</v>
      </c>
      <c r="N356" s="547">
        <f ca="1">N357+N358</f>
        <v>547278.22</v>
      </c>
      <c r="O356" s="547">
        <f ca="1">IF(L356&gt;0,N356*100/L356,0)</f>
        <v>158.07695329424337</v>
      </c>
      <c r="P356" s="547">
        <f ca="1">IF(M356&gt;0,N356*100/M356,0)</f>
        <v>112.90838233170349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346210</v>
      </c>
      <c r="M358" s="224">
        <f ca="1">M361+M364</f>
        <v>484710</v>
      </c>
      <c r="N358" s="224">
        <f ca="1">N361+N364</f>
        <v>547278.22</v>
      </c>
      <c r="O358" s="224">
        <f ca="1">IF(L358&gt;0,N358*100/L358,0)</f>
        <v>158.07695329424337</v>
      </c>
      <c r="P358" s="224">
        <f ca="1">IF(M358&gt;0,N358*100/M358,0)</f>
        <v>112.90838233170349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346210</v>
      </c>
      <c r="M359" s="224">
        <f ca="1">M360+M361</f>
        <v>484710</v>
      </c>
      <c r="N359" s="224">
        <f ca="1">N360+N361</f>
        <v>547278.22</v>
      </c>
      <c r="O359" s="224">
        <f ca="1">IF(L359&gt;0,N359*100/L359,0)</f>
        <v>158.07695329424337</v>
      </c>
      <c r="P359" s="224">
        <f ca="1">IF(M359&gt;0,N359*100/M359,0)</f>
        <v>112.90838233170349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IFERROR(__xludf.DUMMYFUNCTION("IMPORTRANGE(""https://docs.google.com/spreadsheets/d/1-uDff_7J0KD5mKrp0Vvzr7lt3OU09vwQwhkpOPPYv2Y/edit?usp=sharing"",""งบพรบ!FC27"")"),346210)</f>
        <v>346210</v>
      </c>
      <c r="M361" s="224">
        <f ca="1">IFERROR(__xludf.DUMMYFUNCTION("IMPORTRANGE(""https://docs.google.com/spreadsheets/d/1-uDff_7J0KD5mKrp0Vvzr7lt3OU09vwQwhkpOPPYv2Y/edit?usp=sharing"",""งบพรบ!FH27"")"),484710)</f>
        <v>484710</v>
      </c>
      <c r="N361" s="224">
        <f ca="1">IFERROR(__xludf.DUMMYFUNCTION("IMPORTRANGE(""https://docs.google.com/spreadsheets/d/1-uDff_7J0KD5mKrp0Vvzr7lt3OU09vwQwhkpOPPYv2Y/edit?usp=sharing"",""งบพรบ!FJ27"")"),547278.22)</f>
        <v>547278.22</v>
      </c>
      <c r="O361" s="224">
        <f ca="1">IF(L361&gt;0,N361*100/L361,0)</f>
        <v>158.07695329424337</v>
      </c>
      <c r="P361" s="224">
        <f ca="1">IF(M361&gt;0,N361*100/M361,0)</f>
        <v>112.90838233170349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IFERROR(__xludf.DUMMYFUNCTION("IMPORTRANGE(""https://docs.google.com/spreadsheets/d/1-uDff_7J0KD5mKrp0Vvzr7lt3OU09vwQwhkpOPPYv2Y/edit?usp=sharing"",""งบพรบ!FF27"")"),0)</f>
        <v>0</v>
      </c>
      <c r="M364" s="224">
        <f ca="1">IFERROR(__xludf.DUMMYFUNCTION("IMPORTRANGE(""https://docs.google.com/spreadsheets/d/1-uDff_7J0KD5mKrp0Vvzr7lt3OU09vwQwhkpOPPYv2Y/edit?usp=sharing"",""งบพรบ!FI27"")"),0)</f>
        <v>0</v>
      </c>
      <c r="N364" s="224">
        <f ca="1">IFERROR(__xludf.DUMMYFUNCTION("IMPORTRANGE(""https://docs.google.com/spreadsheets/d/1-uDff_7J0KD5mKrp0Vvzr7lt3OU09vwQwhkpOPPYv2Y/edit?usp=sharing"",""งบพรบ!FK27"")"),0)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154</v>
      </c>
      <c r="J365" s="302">
        <f ca="1">J371</f>
        <v>131</v>
      </c>
      <c r="K365" s="303">
        <f ca="1">IF(I365&gt;0,J365*100/I365,0)</f>
        <v>85.064935064935071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IFERROR(__xludf.DUMMYFUNCTION("IMPORTRANGE(""https://docs.google.com/spreadsheets/d/1tdoBKaGub7dwA3U6UFTqxio9LNnvDCQjHKmttSEBsFQ/edit?usp=sharing"",""จัดที่ดิน!AB27"")"),114)</f>
        <v>114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IFERROR(__xludf.DUMMYFUNCTION("IMPORTRANGE(""https://docs.google.com/spreadsheets/d/1eHaY18a8A9IcSdp1K8H6x8fbOy06t2VsZHhMHf-1x7Y/edit?usp=sharing"",""แผน!EW27"")"),450)</f>
        <v>450</v>
      </c>
      <c r="J368" s="668">
        <f ca="1">IFERROR(__xludf.DUMMYFUNCTION("IMPORTRANGE(""https://docs.google.com/spreadsheets/d/1tdoBKaGub7dwA3U6UFTqxio9LNnvDCQjHKmttSEBsFQ/edit?usp=sharing"",""จัดที่ดิน!AC27"")"),406.79)</f>
        <v>406.79</v>
      </c>
      <c r="K368" s="224">
        <f ca="1">IF(I368&gt;0,J368*100/I368,0)</f>
        <v>90.397777777777776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IFERROR(__xludf.DUMMYFUNCTION("IMPORTRANGE(""https://docs.google.com/spreadsheets/d/1eHaY18a8A9IcSdp1K8H6x8fbOy06t2VsZHhMHf-1x7Y/edit?usp=sharing"",""แผน!EX27"")"),154)</f>
        <v>154</v>
      </c>
      <c r="J369" s="184">
        <f ca="1">IFERROR(__xludf.DUMMYFUNCTION("IMPORTRANGE(""https://docs.google.com/spreadsheets/d/1tdoBKaGub7dwA3U6UFTqxio9LNnvDCQjHKmttSEBsFQ/edit?usp=sharing"",""จัดที่ดิน!AD27"")"),185)</f>
        <v>185</v>
      </c>
      <c r="K369" s="224">
        <f ca="1">IF(I369&gt;0,J369*100/I369,0)</f>
        <v>120.12987012987013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IFERROR(__xludf.DUMMYFUNCTION("IMPORTRANGE(""https://docs.google.com/spreadsheets/d/1tdoBKaGub7dwA3U6UFTqxio9LNnvDCQjHKmttSEBsFQ/edit?usp=sharing"",""จัดที่ดิน!AE27"")"),901.53)</f>
        <v>901.53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IFERROR(__xludf.DUMMYFUNCTION("IMPORTRANGE(""https://docs.google.com/spreadsheets/d/1eHaY18a8A9IcSdp1K8H6x8fbOy06t2VsZHhMHf-1x7Y/edit?usp=sharing"",""แผน!EY27"")"),154)</f>
        <v>154</v>
      </c>
      <c r="J371" s="184">
        <f ca="1">IFERROR(__xludf.DUMMYFUNCTION("IMPORTRANGE(""https://docs.google.com/spreadsheets/d/1tdoBKaGub7dwA3U6UFTqxio9LNnvDCQjHKmttSEBsFQ/edit?usp=sharing"",""จัดที่ดิน!AF27"")"),131)</f>
        <v>131</v>
      </c>
      <c r="K371" s="224">
        <f ca="1">IF(I371&gt;0,J371*100/I371,0)</f>
        <v>85.064935064935071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IFERROR(__xludf.DUMMYFUNCTION("IMPORTRANGE(""https://docs.google.com/spreadsheets/d/1tdoBKaGub7dwA3U6UFTqxio9LNnvDCQjHKmttSEBsFQ/edit?usp=sharing"",""จัดที่ดิน!AG27"")"),716.75)</f>
        <v>716.75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282</v>
      </c>
      <c r="K374" s="659">
        <f ca="1">IF(I374&gt;0,J374*100/I374,0)</f>
        <v>28.2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12720</v>
      </c>
      <c r="S375" s="547">
        <f ca="1">S376+S377</f>
        <v>8500</v>
      </c>
      <c r="T375" s="547">
        <f ca="1">IF(Q375&gt;0,S375*100/Q375,0)</f>
        <v>13.6</v>
      </c>
      <c r="U375" s="547">
        <f ca="1">IF(R375&gt;0,S375*100/R375,0)</f>
        <v>66.823899371069189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12720</v>
      </c>
      <c r="S377" s="224">
        <f ca="1">S380+S383</f>
        <v>8500</v>
      </c>
      <c r="T377" s="224">
        <f ca="1">IF(Q377&gt;0,S377*100/Q377,0)</f>
        <v>13.6</v>
      </c>
      <c r="U377" s="224">
        <f ca="1">IF(R377&gt;0,S377*100/R377,0)</f>
        <v>66.823899371069189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12720</v>
      </c>
      <c r="S378" s="224">
        <f ca="1">S379+S380</f>
        <v>8500</v>
      </c>
      <c r="T378" s="224">
        <f ca="1">IF(Q378&gt;0,S378*100/Q378,0)</f>
        <v>13.6</v>
      </c>
      <c r="U378" s="224">
        <f ca="1">IF(R378&gt;0,S378*100/R378,0)</f>
        <v>66.823899371069189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IFERROR(__xludf.DUMMYFUNCTION("IMPORTRANGE(""https://docs.google.com/spreadsheets/d/1-uDff_7J0KD5mKrp0Vvzr7lt3OU09vwQwhkpOPPYv2Y/edit?usp=sharing"",""งบพรบ!IE27"")"),0)</f>
        <v>0</v>
      </c>
      <c r="M380" s="224">
        <f ca="1">IFERROR(__xludf.DUMMYFUNCTION("IMPORTRANGE(""https://docs.google.com/spreadsheets/d/1-uDff_7J0KD5mKrp0Vvzr7lt3OU09vwQwhkpOPPYv2Y/edit?usp=sharing"",""งบพรบ!IJ27"")"),0)</f>
        <v>0</v>
      </c>
      <c r="N380" s="224">
        <f ca="1">IFERROR(__xludf.DUMMYFUNCTION("IMPORTRANGE(""https://docs.google.com/spreadsheets/d/1-uDff_7J0KD5mKrp0Vvzr7lt3OU09vwQwhkpOPPYv2Y/edit?usp=sharing"",""งบพรบ!IL27"")"),0)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IFERROR(__xludf.DUMMYFUNCTION("IMPORTRANGE(""https://docs.google.com/spreadsheets/d/1ItG2mGa2ceCfYo0BwxsXqNm01IGEUdYcSSLTEv9YCik/edit?usp=sharing"",""เบิกจ่ายกองทุน!BX27"")"),12720)</f>
        <v>12720</v>
      </c>
      <c r="S380" s="224">
        <f ca="1">IFERROR(__xludf.DUMMYFUNCTION("IMPORTRANGE(""https://docs.google.com/spreadsheets/d/1ItG2mGa2ceCfYo0BwxsXqNm01IGEUdYcSSLTEv9YCik/edit?usp=sharing"",""เบิกจ่ายกองทุน!BY27"")"),8500)</f>
        <v>8500</v>
      </c>
      <c r="T380" s="224">
        <f ca="1">IF(Q380&gt;0,S380*100/Q380,0)</f>
        <v>13.6</v>
      </c>
      <c r="U380" s="224">
        <f ca="1">IF(R380&gt;0,S380*100/R380,0)</f>
        <v>66.823899371069189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IFERROR(__xludf.DUMMYFUNCTION("IMPORTRANGE(""https://docs.google.com/spreadsheets/d/1-uDff_7J0KD5mKrp0Vvzr7lt3OU09vwQwhkpOPPYv2Y/edit?usp=sharing"",""งบพรบ!IH27"")"),0)</f>
        <v>0</v>
      </c>
      <c r="M383" s="224">
        <f ca="1">IFERROR(__xludf.DUMMYFUNCTION("IMPORTRANGE(""https://docs.google.com/spreadsheets/d/1-uDff_7J0KD5mKrp0Vvzr7lt3OU09vwQwhkpOPPYv2Y/edit?usp=sharing"",""งบพรบ!IK27"")"),0)</f>
        <v>0</v>
      </c>
      <c r="N383" s="224">
        <f ca="1">IFERROR(__xludf.DUMMYFUNCTION("IMPORTRANGE(""https://docs.google.com/spreadsheets/d/1-uDff_7J0KD5mKrp0Vvzr7lt3OU09vwQwhkpOPPYv2Y/edit?usp=sharing"",""งบพรบ!IM27"")"),0)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IFERROR(__xludf.DUMMYFUNCTION("IMPORTRANGE(""https://docs.google.com/spreadsheets/d/1w5rwWK1o49a35cNtocGL0gxDwhFSTZUQu90BiH9_zqM/edit?usp=sharing"",""RTK!H27"")"),54)</f>
        <v>54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IFERROR(__xludf.DUMMYFUNCTION("IMPORTRANGE(""https://docs.google.com/spreadsheets/d/1w5rwWK1o49a35cNtocGL0gxDwhFSTZUQu90BiH9_zqM/edit?usp=sharing"",""RTK!G27"")"),1000)</f>
        <v>1000</v>
      </c>
      <c r="J386" s="184">
        <f ca="1">IFERROR(__xludf.DUMMYFUNCTION("IMPORTRANGE(""https://docs.google.com/spreadsheets/d/1w5rwWK1o49a35cNtocGL0gxDwhFSTZUQu90BiH9_zqM/edit?usp=sharing"",""RTK!I27"")"),282)</f>
        <v>282</v>
      </c>
      <c r="K386" s="224">
        <f ca="1">IF(I386&gt;0,J386*100/I386,0)</f>
        <v>28.2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IFERROR(__xludf.DUMMYFUNCTION("IMPORTRANGE(""https://docs.google.com/spreadsheets/d/1w5rwWK1o49a35cNtocGL0gxDwhFSTZUQu90BiH9_zqM/edit?usp=sharing"",""RTK!L27"")"),0)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IFERROR(__xludf.DUMMYFUNCTION("IMPORTRANGE(""https://docs.google.com/spreadsheets/d/1w5rwWK1o49a35cNtocGL0gxDwhFSTZUQu90BiH9_zqM/edit?usp=sharing"",""RTK!K27"")"),0)</f>
        <v>0</v>
      </c>
      <c r="J388" s="559">
        <f ca="1">IFERROR(__xludf.DUMMYFUNCTION("IMPORTRANGE(""https://docs.google.com/spreadsheets/d/1w5rwWK1o49a35cNtocGL0gxDwhFSTZUQu90BiH9_zqM/edit?usp=sharing"",""RTK!M27"")"),0)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IFERROR(__xludf.DUMMYFUNCTION("IMPORTRANGE(""https://docs.google.com/spreadsheets/d/1ItG2mGa2ceCfYo0BwxsXqNm01IGEUdYcSSLTEv9YCik/edit?usp=sharing"",""เบิกจ่ายกองทุน!CL27"")"),0)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IFERROR(__xludf.DUMMYFUNCTION("IMPORTRANGE(""https://docs.google.com/spreadsheets/d/1ItG2mGa2ceCfYo0BwxsXqNm01IGEUdYcSSLTEv9YCik/edit?usp=sharing"",""เบิกจ่ายกองทุน!CM27"")"),0)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IFERROR(__xludf.DUMMYFUNCTION("IMPORTRANGE(""https://docs.google.com/spreadsheets/d/1ItG2mGa2ceCfYo0BwxsXqNm01IGEUdYcSSLTEv9YCik/edit?usp=sharing"",""เบิกจ่ายกองทุน!CN27"")"),0)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6309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456160</v>
      </c>
      <c r="M413" s="547">
        <f ca="1">M414+M415</f>
        <v>456160</v>
      </c>
      <c r="N413" s="547">
        <f ca="1">N414+N415</f>
        <v>87347.33</v>
      </c>
      <c r="O413" s="547">
        <f ca="1">IF(L413&gt;0,N413*100/L413,0)</f>
        <v>19.148397492108032</v>
      </c>
      <c r="P413" s="547">
        <f ca="1">IF(M413&gt;0,N413*100/M413,0)</f>
        <v>19.148397492108032</v>
      </c>
      <c r="Q413" s="547">
        <f ca="1">Q414+Q415</f>
        <v>53750</v>
      </c>
      <c r="R413" s="547">
        <f ca="1">R414+R415</f>
        <v>53750</v>
      </c>
      <c r="S413" s="547">
        <f ca="1">S414+S415</f>
        <v>25625</v>
      </c>
      <c r="T413" s="547">
        <f ca="1">IF(Q413&gt;0,S413*100/Q413,0)</f>
        <v>47.674418604651166</v>
      </c>
      <c r="U413" s="547">
        <f ca="1">IF(R413&gt;0,S413*100/R413,0)</f>
        <v>47.674418604651166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456160</v>
      </c>
      <c r="M415" s="224">
        <f ca="1">M418+M421</f>
        <v>456160</v>
      </c>
      <c r="N415" s="224">
        <f ca="1">N418+N421</f>
        <v>87347.33</v>
      </c>
      <c r="O415" s="224">
        <f ca="1">IF(L415&gt;0,N415*100/L415,0)</f>
        <v>19.148397492108032</v>
      </c>
      <c r="P415" s="224">
        <f ca="1">IF(M415&gt;0,N415*100/M415,0)</f>
        <v>19.148397492108032</v>
      </c>
      <c r="Q415" s="224">
        <f ca="1">Q418+Q421</f>
        <v>53750</v>
      </c>
      <c r="R415" s="224">
        <f ca="1">R418+R421</f>
        <v>53750</v>
      </c>
      <c r="S415" s="224">
        <f ca="1">S418+S421</f>
        <v>25625</v>
      </c>
      <c r="T415" s="224">
        <f ca="1">IF(Q415&gt;0,S415*100/Q415,0)</f>
        <v>47.674418604651166</v>
      </c>
      <c r="U415" s="224">
        <f ca="1">IF(R415&gt;0,S415*100/R415,0)</f>
        <v>47.674418604651166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456160</v>
      </c>
      <c r="M416" s="224">
        <f ca="1">M417+M418</f>
        <v>456160</v>
      </c>
      <c r="N416" s="224">
        <f ca="1">N417+N418</f>
        <v>87347.33</v>
      </c>
      <c r="O416" s="224">
        <f ca="1">IF(L416&gt;0,N416*100/L416,0)</f>
        <v>19.148397492108032</v>
      </c>
      <c r="P416" s="224">
        <f ca="1">IF(M416&gt;0,N416*100/M416,0)</f>
        <v>19.148397492108032</v>
      </c>
      <c r="Q416" s="224">
        <f ca="1">Q417+Q418</f>
        <v>53750</v>
      </c>
      <c r="R416" s="224">
        <f ca="1">R417+R418</f>
        <v>53750</v>
      </c>
      <c r="S416" s="224">
        <f ca="1">S417+S418</f>
        <v>25625</v>
      </c>
      <c r="T416" s="224">
        <f ca="1">IF(Q416&gt;0,S416*100/Q416,0)</f>
        <v>47.674418604651166</v>
      </c>
      <c r="U416" s="224">
        <f ca="1">IF(R416&gt;0,S416*100/R416,0)</f>
        <v>47.674418604651166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IFERROR(__xludf.DUMMYFUNCTION("IMPORTRANGE(""https://docs.google.com/spreadsheets/d/1-uDff_7J0KD5mKrp0Vvzr7lt3OU09vwQwhkpOPPYv2Y/edit?usp=sharing"",""งบพรบ!IO27"")"),456160)</f>
        <v>456160</v>
      </c>
      <c r="M418" s="224">
        <f ca="1">IFERROR(__xludf.DUMMYFUNCTION("IMPORTRANGE(""https://docs.google.com/spreadsheets/d/1-uDff_7J0KD5mKrp0Vvzr7lt3OU09vwQwhkpOPPYv2Y/edit?usp=sharing"",""งบพรบ!IT27"")"),456160)</f>
        <v>456160</v>
      </c>
      <c r="N418" s="224">
        <f ca="1">IFERROR(__xludf.DUMMYFUNCTION("IMPORTRANGE(""https://docs.google.com/spreadsheets/d/1-uDff_7J0KD5mKrp0Vvzr7lt3OU09vwQwhkpOPPYv2Y/edit?usp=sharing"",""งบพรบ!IV27"")"),87347.33)</f>
        <v>87347.33</v>
      </c>
      <c r="O418" s="224">
        <f ca="1">IF(L418&gt;0,N418*100/L418,0)</f>
        <v>19.148397492108032</v>
      </c>
      <c r="P418" s="224">
        <f ca="1">IF(M418&gt;0,N418*100/M418,0)</f>
        <v>19.148397492108032</v>
      </c>
      <c r="Q418" s="224">
        <f ca="1">IFERROR(__xludf.DUMMYFUNCTION("IMPORTRANGE(""https://docs.google.com/spreadsheets/d/1ItG2mGa2ceCfYo0BwxsXqNm01IGEUdYcSSLTEv9YCik/edit?usp=sharing"",""เบิกจ่ายกองทุน!BZ27"")"),53750)</f>
        <v>53750</v>
      </c>
      <c r="R418" s="224">
        <f ca="1">IFERROR(__xludf.DUMMYFUNCTION("IMPORTRANGE(""https://docs.google.com/spreadsheets/d/1ItG2mGa2ceCfYo0BwxsXqNm01IGEUdYcSSLTEv9YCik/edit?usp=sharing"",""เบิกจ่ายกองทุน!CA27"")"),53750)</f>
        <v>53750</v>
      </c>
      <c r="S418" s="224">
        <f ca="1">IFERROR(__xludf.DUMMYFUNCTION("IMPORTRANGE(""https://docs.google.com/spreadsheets/d/1ItG2mGa2ceCfYo0BwxsXqNm01IGEUdYcSSLTEv9YCik/edit?usp=sharing"",""เบิกจ่ายกองทุน!CB27"")"),25625)</f>
        <v>25625</v>
      </c>
      <c r="T418" s="224">
        <f ca="1">IF(Q418&gt;0,S418*100/Q418,0)</f>
        <v>47.674418604651166</v>
      </c>
      <c r="U418" s="224">
        <f ca="1">IF(R418&gt;0,S418*100/R418,0)</f>
        <v>47.674418604651166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IFERROR(__xludf.DUMMYFUNCTION("IMPORTRANGE(""https://docs.google.com/spreadsheets/d/1-uDff_7J0KD5mKrp0Vvzr7lt3OU09vwQwhkpOPPYv2Y/edit?usp=sharing"",""งบพรบ!IR27"")"),0)</f>
        <v>0</v>
      </c>
      <c r="M421" s="224">
        <f ca="1">IFERROR(__xludf.DUMMYFUNCTION("IMPORTRANGE(""https://docs.google.com/spreadsheets/d/1-uDff_7J0KD5mKrp0Vvzr7lt3OU09vwQwhkpOPPYv2Y/edit?usp=sharing"",""งบพรบ!IU27"")"),0)</f>
        <v>0</v>
      </c>
      <c r="N421" s="224">
        <f ca="1">IFERROR(__xludf.DUMMYFUNCTION("IMPORTRANGE(""https://docs.google.com/spreadsheets/d/1-uDff_7J0KD5mKrp0Vvzr7lt3OU09vwQwhkpOPPYv2Y/edit?usp=sharing"",""งบพรบ!IW27"")"),0)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6309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IFERROR(__xludf.DUMMYFUNCTION("IMPORTRANGE(""https://docs.google.com/spreadsheets/d/1eHaY18a8A9IcSdp1K8H6x8fbOy06t2VsZHhMHf-1x7Y/edit?usp=sharing"",""แผน!HJ27"")"),6309)</f>
        <v>6309</v>
      </c>
      <c r="J424" s="650">
        <f>J426+J428+J430</f>
        <v>6309</v>
      </c>
      <c r="K424" s="547">
        <f ca="1">IF(I424&gt;0,J424*100/I424,0)</f>
        <v>100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IFERROR(__xludf.DUMMYFUNCTION("IMPORTRANGE(""https://docs.google.com/spreadsheets/d/1eHaY18a8A9IcSdp1K8H6x8fbOy06t2VsZHhMHf-1x7Y/edit?usp=sharing"",""แผน!HK27"")"),1306)</f>
        <v>1306</v>
      </c>
      <c r="J425" s="650">
        <f>J427+J429+J431</f>
        <v>1306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5171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1105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789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126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349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75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IFERROR(__xludf.DUMMYFUNCTION("IMPORTRANGE(""https://docs.google.com/spreadsheets/d/1eHaY18a8A9IcSdp1K8H6x8fbOy06t2VsZHhMHf-1x7Y/edit?usp=sharing"",""แผน!HJ27"")"),6309)</f>
        <v>6309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IFERROR(__xludf.DUMMYFUNCTION("IMPORTRANGE(""https://docs.google.com/spreadsheets/d/1eHaY18a8A9IcSdp1K8H6x8fbOy06t2VsZHhMHf-1x7Y/edit?usp=sharing"",""แผน!HK27"")"),1306)</f>
        <v>1306</v>
      </c>
      <c r="J433" s="650">
        <f>J435+J437+J439</f>
        <v>1306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1128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94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84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IFERROR(__xludf.DUMMYFUNCTION("IMPORTRANGE(""https://docs.google.com/spreadsheets/d/1eHaY18a8A9IcSdp1K8H6x8fbOy06t2VsZHhMHf-1x7Y/edit?usp=sharing"",""แผน!HJ27"")"),6309)</f>
        <v>6309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IFERROR(__xludf.DUMMYFUNCTION("IMPORTRANGE(""https://docs.google.com/spreadsheets/d/1eHaY18a8A9IcSdp1K8H6x8fbOy06t2VsZHhMHf-1x7Y/edit?usp=sharing"",""แผน!HK27"")"),1306)</f>
        <v>1306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2559.2399999999998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IFERROR(__xludf.DUMMYFUNCTION("IMPORTRANGE(""https://docs.google.com/spreadsheets/d/1eHaY18a8A9IcSdp1K8H6x8fbOy06t2VsZHhMHf-1x7Y/edit?usp=sharing"",""แผน!HL27"")"),2559.24)</f>
        <v>2559.2399999999998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IFERROR(__xludf.DUMMYFUNCTION("IMPORTRANGE(""https://docs.google.com/spreadsheets/d/1eHaY18a8A9IcSdp1K8H6x8fbOy06t2VsZHhMHf-1x7Y/edit?usp=sharing"",""แผน!HM27"")"),257)</f>
        <v>257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IFERROR(__xludf.DUMMYFUNCTION("IMPORTRANGE(""https://docs.google.com/spreadsheets/d/1eHaY18a8A9IcSdp1K8H6x8fbOy06t2VsZHhMHf-1x7Y/edit?usp=sharing"",""แผน!HO27"")"),34)</f>
        <v>34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IFERROR(__xludf.DUMMYFUNCTION("IMPORTRANGE(""https://docs.google.com/spreadsheets/d/1eHaY18a8A9IcSdp1K8H6x8fbOy06t2VsZHhMHf-1x7Y/edit?usp=sharing"",""แผน!HN27"")"),10)</f>
        <v>10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IFERROR(__xludf.DUMMYFUNCTION("IMPORTRANGE(""https://docs.google.com/spreadsheets/d/1-uDff_7J0KD5mKrp0Vvzr7lt3OU09vwQwhkpOPPYv2Y/edit?usp=sharing"",""งบพรบ!HU27"")"),0)</f>
        <v>0</v>
      </c>
      <c r="M498" s="224">
        <f ca="1">IFERROR(__xludf.DUMMYFUNCTION("IMPORTRANGE(""https://docs.google.com/spreadsheets/d/1-uDff_7J0KD5mKrp0Vvzr7lt3OU09vwQwhkpOPPYv2Y/edit?usp=sharing"",""งบพรบ!HZ27"")"),0)</f>
        <v>0</v>
      </c>
      <c r="N498" s="224">
        <f ca="1">IFERROR(__xludf.DUMMYFUNCTION("IMPORTRANGE(""https://docs.google.com/spreadsheets/d/1-uDff_7J0KD5mKrp0Vvzr7lt3OU09vwQwhkpOPPYv2Y/edit?usp=sharing"",""งบพรบ!IB27"")"),0)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IFERROR(__xludf.DUMMYFUNCTION("IMPORTRANGE(""https://docs.google.com/spreadsheets/d/1ItG2mGa2ceCfYo0BwxsXqNm01IGEUdYcSSLTEv9YCik/edit?usp=sharing"",""เบิกจ่ายกองทุน!AF27"")"),0)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IFERROR(__xludf.DUMMYFUNCTION("IMPORTRANGE(""https://docs.google.com/spreadsheets/d/1-uDff_7J0KD5mKrp0Vvzr7lt3OU09vwQwhkpOPPYv2Y/edit?usp=sharing"",""งบพรบ!HX27"")"),0)</f>
        <v>0</v>
      </c>
      <c r="M501" s="224">
        <f ca="1">IFERROR(__xludf.DUMMYFUNCTION("IMPORTRANGE(""https://docs.google.com/spreadsheets/d/1-uDff_7J0KD5mKrp0Vvzr7lt3OU09vwQwhkpOPPYv2Y/edit?usp=sharing"",""งบพรบ!IA27"")"),0)</f>
        <v>0</v>
      </c>
      <c r="N501" s="224">
        <f ca="1">IFERROR(__xludf.DUMMYFUNCTION("IMPORTRANGE(""https://docs.google.com/spreadsheets/d/1-uDff_7J0KD5mKrp0Vvzr7lt3OU09vwQwhkpOPPYv2Y/edit?usp=sharing"",""งบพรบ!IC27"")"),0)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IFERROR(__xludf.DUMMYFUNCTION("IMPORTRANGE(""https://docs.google.com/spreadsheets/d/1eHaY18a8A9IcSdp1K8H6x8fbOy06t2VsZHhMHf-1x7Y/edit?usp=sharing"",""แผน!GX27"")"),0)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IFERROR(__xludf.DUMMYFUNCTION("IMPORTRANGE(""https://docs.google.com/spreadsheets/d/1eHaY18a8A9IcSdp1K8H6x8fbOy06t2VsZHhMHf-1x7Y/edit?usp=sharing"",""แผน!GY27"")"),0)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IFERROR(__xludf.DUMMYFUNCTION("IMPORTRANGE(""https://docs.google.com/spreadsheets/d/1eHaY18a8A9IcSdp1K8H6x8fbOy06t2VsZHhMHf-1x7Y/edit?usp=sharing"",""แผน!GZ27"")"),0)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IFERROR(__xludf.DUMMYFUNCTION("IMPORTRANGE(""https://docs.google.com/spreadsheets/d/1eHaY18a8A9IcSdp1K8H6x8fbOy06t2VsZHhMHf-1x7Y/edit?usp=sharing"",""แผน!HA27"")"),0)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IFERROR(__xludf.DUMMYFUNCTION("IMPORTRANGE(""https://docs.google.com/spreadsheets/d/1eHaY18a8A9IcSdp1K8H6x8fbOy06t2VsZHhMHf-1x7Y/edit?usp=sharing"",""แผน!HB27"")"),0)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IFERROR(__xludf.DUMMYFUNCTION("IMPORTRANGE(""https://docs.google.com/spreadsheets/d/1eHaY18a8A9IcSdp1K8H6x8fbOy06t2VsZHhMHf-1x7Y/edit?usp=sharing"",""แผน!HC27"")"),0)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IFERROR(__xludf.DUMMYFUNCTION("IMPORTRANGE(""https://docs.google.com/spreadsheets/d/1-uDff_7J0KD5mKrp0Vvzr7lt3OU09vwQwhkpOPPYv2Y/edit?usp=sharing"",""งบพรบ!FM27"")"),0)</f>
        <v>0</v>
      </c>
      <c r="M518" s="224">
        <f ca="1">IFERROR(__xludf.DUMMYFUNCTION("IMPORTRANGE(""https://docs.google.com/spreadsheets/d/1-uDff_7J0KD5mKrp0Vvzr7lt3OU09vwQwhkpOPPYv2Y/edit?usp=sharing"",""งบพรบ!FR27"")"),0)</f>
        <v>0</v>
      </c>
      <c r="N518" s="224">
        <f ca="1">IFERROR(__xludf.DUMMYFUNCTION("IMPORTRANGE(""https://docs.google.com/spreadsheets/d/1-uDff_7J0KD5mKrp0Vvzr7lt3OU09vwQwhkpOPPYv2Y/edit?usp=sharing"",""งบพรบ!FT27"")"),0)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IFERROR(__xludf.DUMMYFUNCTION("IMPORTRANGE(""https://docs.google.com/spreadsheets/d/1-uDff_7J0KD5mKrp0Vvzr7lt3OU09vwQwhkpOPPYv2Y/edit?usp=sharing"",""งบพรบ!FP27"")"),0)</f>
        <v>0</v>
      </c>
      <c r="M521" s="224">
        <f ca="1">IFERROR(__xludf.DUMMYFUNCTION("IMPORTRANGE(""https://docs.google.com/spreadsheets/d/1-uDff_7J0KD5mKrp0Vvzr7lt3OU09vwQwhkpOPPYv2Y/edit?usp=sharing"",""งบพรบ!FS27"")"),0)</f>
        <v>0</v>
      </c>
      <c r="N521" s="224">
        <f ca="1">IFERROR(__xludf.DUMMYFUNCTION("IMPORTRANGE(""https://docs.google.com/spreadsheets/d/1-uDff_7J0KD5mKrp0Vvzr7lt3OU09vwQwhkpOPPYv2Y/edit?usp=sharing"",""งบพรบ!FU27"")"),0)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IFERROR(__xludf.DUMMYFUNCTION("IMPORTRANGE(""https://docs.google.com/spreadsheets/d/1-uDff_7J0KD5mKrp0Vvzr7lt3OU09vwQwhkpOPPYv2Y/edit?usp=sharing"",""งบพรบ!FW27"")"),0)</f>
        <v>0</v>
      </c>
      <c r="M539" s="224">
        <f ca="1">IFERROR(__xludf.DUMMYFUNCTION("IMPORTRANGE(""https://docs.google.com/spreadsheets/d/1-uDff_7J0KD5mKrp0Vvzr7lt3OU09vwQwhkpOPPYv2Y/edit?usp=sharing"",""งบพรบ!GB27"")"),0)</f>
        <v>0</v>
      </c>
      <c r="N539" s="224">
        <f ca="1">IFERROR(__xludf.DUMMYFUNCTION("IMPORTRANGE(""https://docs.google.com/spreadsheets/d/1-uDff_7J0KD5mKrp0Vvzr7lt3OU09vwQwhkpOPPYv2Y/edit?usp=sharing"",""งบพรบ!GD27"")"),0)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IFERROR(__xludf.DUMMYFUNCTION("IMPORTRANGE(""https://docs.google.com/spreadsheets/d/1-uDff_7J0KD5mKrp0Vvzr7lt3OU09vwQwhkpOPPYv2Y/edit?usp=sharing"",""งบพรบ!FZ27"")"),0)</f>
        <v>0</v>
      </c>
      <c r="M542" s="224">
        <f ca="1">IFERROR(__xludf.DUMMYFUNCTION("IMPORTRANGE(""https://docs.google.com/spreadsheets/d/1-uDff_7J0KD5mKrp0Vvzr7lt3OU09vwQwhkpOPPYv2Y/edit?usp=sharing"",""งบพรบ!GC27"")"),0)</f>
        <v>0</v>
      </c>
      <c r="N542" s="224">
        <f ca="1">IFERROR(__xludf.DUMMYFUNCTION("IMPORTRANGE(""https://docs.google.com/spreadsheets/d/1-uDff_7J0KD5mKrp0Vvzr7lt3OU09vwQwhkpOPPYv2Y/edit?usp=sharing"",""งบพรบ!GE27"")"),0)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IFERROR(__xludf.DUMMYFUNCTION("IMPORTRANGE(""https://docs.google.com/spreadsheets/d/1-uDff_7J0KD5mKrp0Vvzr7lt3OU09vwQwhkpOPPYv2Y/edit?usp=sharing"",""งบพรบ!GG27"")"),0)</f>
        <v>0</v>
      </c>
      <c r="M560" s="224">
        <f ca="1">IFERROR(__xludf.DUMMYFUNCTION("IMPORTRANGE(""https://docs.google.com/spreadsheets/d/1-uDff_7J0KD5mKrp0Vvzr7lt3OU09vwQwhkpOPPYv2Y/edit?usp=sharing"",""งบพรบ!GL27"")"),0)</f>
        <v>0</v>
      </c>
      <c r="N560" s="224">
        <f ca="1">IFERROR(__xludf.DUMMYFUNCTION("IMPORTRANGE(""https://docs.google.com/spreadsheets/d/1-uDff_7J0KD5mKrp0Vvzr7lt3OU09vwQwhkpOPPYv2Y/edit?usp=sharing"",""งบพรบ!GN27"")"),0)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IFERROR(__xludf.DUMMYFUNCTION("IMPORTRANGE(""https://docs.google.com/spreadsheets/d/1-uDff_7J0KD5mKrp0Vvzr7lt3OU09vwQwhkpOPPYv2Y/edit?usp=sharing"",""งบพรบ!GJ27"")"),0)</f>
        <v>0</v>
      </c>
      <c r="M563" s="224">
        <f ca="1">IFERROR(__xludf.DUMMYFUNCTION("IMPORTRANGE(""https://docs.google.com/spreadsheets/d/1-uDff_7J0KD5mKrp0Vvzr7lt3OU09vwQwhkpOPPYv2Y/edit?usp=sharing"",""งบพรบ!GM27"")"),0)</f>
        <v>0</v>
      </c>
      <c r="N563" s="224">
        <f ca="1">IFERROR(__xludf.DUMMYFUNCTION("IMPORTRANGE(""https://docs.google.com/spreadsheets/d/1-uDff_7J0KD5mKrp0Vvzr7lt3OU09vwQwhkpOPPYv2Y/edit?usp=sharing"",""งบพรบ!GO27"")"),0)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IFERROR(__xludf.DUMMYFUNCTION("IMPORTRANGE(""https://docs.google.com/spreadsheets/d/1-uDff_7J0KD5mKrp0Vvzr7lt3OU09vwQwhkpOPPYv2Y/edit?usp=sharing"",""งบพรบ!GQ27"")"),0)</f>
        <v>0</v>
      </c>
      <c r="M581" s="224">
        <f ca="1">IFERROR(__xludf.DUMMYFUNCTION("IMPORTRANGE(""https://docs.google.com/spreadsheets/d/1-uDff_7J0KD5mKrp0Vvzr7lt3OU09vwQwhkpOPPYv2Y/edit?usp=sharing"",""งบพรบ!GV27"")"),0)</f>
        <v>0</v>
      </c>
      <c r="N581" s="224">
        <f ca="1">IFERROR(__xludf.DUMMYFUNCTION("IMPORTRANGE(""https://docs.google.com/spreadsheets/d/1-uDff_7J0KD5mKrp0Vvzr7lt3OU09vwQwhkpOPPYv2Y/edit?usp=sharing"",""งบพรบ!GX27"")"),0)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IFERROR(__xludf.DUMMYFUNCTION("IMPORTRANGE(""https://docs.google.com/spreadsheets/d/1-uDff_7J0KD5mKrp0Vvzr7lt3OU09vwQwhkpOPPYv2Y/edit?usp=sharing"",""งบพรบ!GT27"")"),0)</f>
        <v>0</v>
      </c>
      <c r="M584" s="224">
        <f ca="1">IFERROR(__xludf.DUMMYFUNCTION("IMPORTRANGE(""https://docs.google.com/spreadsheets/d/1-uDff_7J0KD5mKrp0Vvzr7lt3OU09vwQwhkpOPPYv2Y/edit?usp=sharing"",""งบพรบ!GW27"")"),0)</f>
        <v>0</v>
      </c>
      <c r="N584" s="224">
        <f ca="1">IFERROR(__xludf.DUMMYFUNCTION("IMPORTRANGE(""https://docs.google.com/spreadsheets/d/1-uDff_7J0KD5mKrp0Vvzr7lt3OU09vwQwhkpOPPYv2Y/edit?usp=sharing"",""งบพรบ!GY27"")"),0)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10557</v>
      </c>
      <c r="M599" s="715">
        <f ca="1">M600+M601</f>
        <v>10557</v>
      </c>
      <c r="N599" s="715">
        <f ca="1">N600+N601</f>
        <v>6580</v>
      </c>
      <c r="O599" s="715">
        <f ca="1">IF(L599&gt;0,N599*100/L599,0)</f>
        <v>62.328312967699155</v>
      </c>
      <c r="P599" s="715">
        <f ca="1">IF(M599&gt;0,N599*100/M599,0)</f>
        <v>62.328312967699155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10557</v>
      </c>
      <c r="M601" s="558">
        <f ca="1">M604+M607</f>
        <v>10557</v>
      </c>
      <c r="N601" s="558">
        <f ca="1">N604+N607</f>
        <v>6580</v>
      </c>
      <c r="O601" s="558">
        <f ca="1">IF(L601&gt;0,N601*100/L601,0)</f>
        <v>62.328312967699155</v>
      </c>
      <c r="P601" s="558">
        <f ca="1">IF(M601&gt;0,N601*100/M601,0)</f>
        <v>62.328312967699155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10557</v>
      </c>
      <c r="M602" s="558">
        <f ca="1">M603+M604</f>
        <v>10557</v>
      </c>
      <c r="N602" s="558">
        <f ca="1">N603+N604</f>
        <v>6580</v>
      </c>
      <c r="O602" s="558">
        <f ca="1">IF(L602&gt;0,N602*100/L602,0)</f>
        <v>62.328312967699155</v>
      </c>
      <c r="P602" s="558">
        <f ca="1">IF(M602&gt;0,N602*100/M602,0)</f>
        <v>62.328312967699155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IFERROR(__xludf.DUMMYFUNCTION("IMPORTRANGE(""https://docs.google.com/spreadsheets/d/1-uDff_7J0KD5mKrp0Vvzr7lt3OU09vwQwhkpOPPYv2Y/edit?usp=sharing"",""งบพรบ!HK27"")"),10557)</f>
        <v>10557</v>
      </c>
      <c r="M604" s="558">
        <f ca="1">IFERROR(__xludf.DUMMYFUNCTION("IMPORTRANGE(""https://docs.google.com/spreadsheets/d/1-uDff_7J0KD5mKrp0Vvzr7lt3OU09vwQwhkpOPPYv2Y/edit?usp=sharing"",""งบพรบ!HP27"")"),10557)</f>
        <v>10557</v>
      </c>
      <c r="N604" s="558">
        <f ca="1">IFERROR(__xludf.DUMMYFUNCTION("IMPORTRANGE(""https://docs.google.com/spreadsheets/d/1-uDff_7J0KD5mKrp0Vvzr7lt3OU09vwQwhkpOPPYv2Y/edit?usp=sharing"",""งบพรบ!HR27"")"),6580)</f>
        <v>6580</v>
      </c>
      <c r="O604" s="558">
        <f ca="1">IF(L604&gt;0,N604*100/L604,0)</f>
        <v>62.328312967699155</v>
      </c>
      <c r="P604" s="558">
        <f ca="1">IF(M604&gt;0,N604*100/M604,0)</f>
        <v>62.328312967699155</v>
      </c>
      <c r="Q604" s="558">
        <f ca="1">IFERROR(__xludf.DUMMYFUNCTION("IMPORTRANGE(""https://docs.google.com/spreadsheets/d/1ItG2mGa2ceCfYo0BwxsXqNm01IGEUdYcSSLTEv9YCik/edit?usp=sharing"",""เบิกจ่ายกองทุน!AV27"")"),0)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IFERROR(__xludf.DUMMYFUNCTION("IMPORTRANGE(""https://docs.google.com/spreadsheets/d/1ItG2mGa2ceCfYo0BwxsXqNm01IGEUdYcSSLTEv9YCik/edit?usp=sharing"",""เบิกจ่ายกองทุน!AW27"")"),0)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IFERROR(__xludf.DUMMYFUNCTION("IMPORTRANGE(""https://docs.google.com/spreadsheets/d/1ItG2mGa2ceCfYo0BwxsXqNm01IGEUdYcSSLTEv9YCik/edit?usp=sharing"",""เบิกจ่ายกองทุน!AX27"")"),0)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IFERROR(__xludf.DUMMYFUNCTION("IMPORTRANGE(""https://docs.google.com/spreadsheets/d/1-uDff_7J0KD5mKrp0Vvzr7lt3OU09vwQwhkpOPPYv2Y/edit?usp=sharing"",""งบพรบ!HN27"")"),0)</f>
        <v>0</v>
      </c>
      <c r="M607" s="558">
        <f ca="1">IFERROR(__xludf.DUMMYFUNCTION("IMPORTRANGE(""https://docs.google.com/spreadsheets/d/1-uDff_7J0KD5mKrp0Vvzr7lt3OU09vwQwhkpOPPYv2Y/edit?usp=sharing"",""งบพรบ!HQ27"")"),0)</f>
        <v>0</v>
      </c>
      <c r="N607" s="558">
        <f ca="1">IFERROR(__xludf.DUMMYFUNCTION("IMPORTRANGE(""https://docs.google.com/spreadsheets/d/1-uDff_7J0KD5mKrp0Vvzr7lt3OU09vwQwhkpOPPYv2Y/edit?usp=sharing"",""งบพรบ!HS27"")"),0)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IFERROR(__xludf.DUMMYFUNCTION("IMPORTRANGE(""https://docs.google.com/spreadsheets/d/1ItG2mGa2ceCfYo0BwxsXqNm01IGEUdYcSSLTEv9YCik/edit?usp=sharing"",""เบิกจ่ายกองทุน!AY27"")"),0)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IFERROR(__xludf.DUMMYFUNCTION("IMPORTRANGE(""https://docs.google.com/spreadsheets/d/1ItG2mGa2ceCfYo0BwxsXqNm01IGEUdYcSSLTEv9YCik/edit?usp=sharing"",""เบิกจ่ายกองทุน!AZ27"")"),0)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IFERROR(__xludf.DUMMYFUNCTION("IMPORTRANGE(""https://docs.google.com/spreadsheets/d/1ItG2mGa2ceCfYo0BwxsXqNm01IGEUdYcSSLTEv9YCik/edit?usp=sharing"",""เบิกจ่ายกองทุน!BA27"")"),0)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6700</v>
      </c>
      <c r="R616" s="547">
        <f ca="1">R617+R618</f>
        <v>6700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6700</v>
      </c>
      <c r="R618" s="224">
        <f ca="1">R621+R624</f>
        <v>6700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6700</v>
      </c>
      <c r="R619" s="224">
        <f ca="1">R620+R621</f>
        <v>6700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IFERROR(__xludf.DUMMYFUNCTION("IMPORTRANGE(""https://docs.google.com/spreadsheets/d/1ItG2mGa2ceCfYo0BwxsXqNm01IGEUdYcSSLTEv9YCik/edit?usp=sharing"",""เบิกจ่ายกองทุน!F27"")"),6700)</f>
        <v>6700</v>
      </c>
      <c r="R621" s="224">
        <f ca="1">IFERROR(__xludf.DUMMYFUNCTION("IMPORTRANGE(""https://docs.google.com/spreadsheets/d/1ItG2mGa2ceCfYo0BwxsXqNm01IGEUdYcSSLTEv9YCik/edit?usp=sharing"",""เบิกจ่ายกองทุน!G27"")"),6700)</f>
        <v>6700</v>
      </c>
      <c r="S621" s="224">
        <f ca="1">IFERROR(__xludf.DUMMYFUNCTION("IMPORTRANGE(""https://docs.google.com/spreadsheets/d/1ItG2mGa2ceCfYo0BwxsXqNm01IGEUdYcSSLTEv9YCik/edit?usp=sharing"",""เบิกจ่ายกองทุน!H27"")"),0)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IFERROR(__xludf.DUMMYFUNCTION("IMPORTRANGE(""https://docs.google.com/spreadsheets/d/1eHaY18a8A9IcSdp1K8H6x8fbOy06t2VsZHhMHf-1x7Y/edit?usp=sharing"",""แผน!ID27"")"),50)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IFERROR(__xludf.DUMMYFUNCTION("IMPORTRANGE(""https://docs.google.com/spreadsheets/d/1eHaY18a8A9IcSdp1K8H6x8fbOy06t2VsZHhMHf-1x7Y/edit?usp=sharing"",""แผน!IC27"")"),0)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IFERROR(__xludf.DUMMYFUNCTION("IMPORTRANGE(""https://docs.google.com/spreadsheets/d/1eHaY18a8A9IcSdp1K8H6x8fbOy06t2VsZHhMHf-1x7Y/edit?usp=sharing"",""แผน!IC27"")"),0)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464.5</v>
      </c>
      <c r="K629" s="224">
        <f ca="1">IF(I$626&gt;0,J629*100/I$626,0)</f>
        <v>929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IFERROR(__xludf.DUMMYFUNCTION("IMPORTRANGE(""https://docs.google.com/spreadsheets/d/1eHaY18a8A9IcSdp1K8H6x8fbOy06t2VsZHhMHf-1x7Y/edit?usp=sharing"",""แผน!IE27"")"),0)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16640</v>
      </c>
      <c r="R642" s="547">
        <f ca="1">R643+R644</f>
        <v>16640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16640</v>
      </c>
      <c r="R644" s="224">
        <f ca="1">R647+R650</f>
        <v>16640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16640</v>
      </c>
      <c r="R645" s="224">
        <f ca="1">R646+R647</f>
        <v>16640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7" s="224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7" s="224">
        <f ca="1">IFERROR(__xludf.DUMMYFUNCTION("IMPORTRANGE(""https://docs.google.com/spreadsheets/d/1ItG2mGa2ceCfYo0BwxsXqNm01IGEUdYcSSLTEv9YCik/edit?usp=sharing"",""เบิกจ่ายกองทุน!K27"")"),0)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IFERROR(__xludf.DUMMYFUNCTION("IMPORTRANGE(""https://docs.google.com/spreadsheets/d/1eHaY18a8A9IcSdp1K8H6x8fbOy06t2VsZHhMHf-1x7Y/edit?usp=sharing"",""แผน!IF27"")"),0)</f>
        <v>0</v>
      </c>
      <c r="J652" s="184">
        <f ca="1">IFERROR(__xludf.DUMMYFUNCTION("IMPORTRANGE(""https://docs.google.com/spreadsheets/d/1tdoBKaGub7dwA3U6UFTqxio9LNnvDCQjHKmttSEBsFQ/edit?usp=sharing"",""จัดที่ดิน!AU27"")"),0)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IFERROR(__xludf.DUMMYFUNCTION("IMPORTRANGE(""https://docs.google.com/spreadsheets/d/1eHaY18a8A9IcSdp1K8H6x8fbOy06t2VsZHhMHf-1x7Y/edit?usp=sharing"",""แผน!IG27"")"),0)</f>
        <v>0</v>
      </c>
      <c r="J653" s="184">
        <f ca="1">IFERROR(__xludf.DUMMYFUNCTION("IMPORTRANGE(""https://docs.google.com/spreadsheets/d/1tdoBKaGub7dwA3U6UFTqxio9LNnvDCQjHKmttSEBsFQ/edit?usp=sharing"",""จัดที่ดิน!AW27"")"),0)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IFERROR(__xludf.DUMMYFUNCTION("IMPORTRANGE(""https://docs.google.com/spreadsheets/d/1eHaY18a8A9IcSdp1K8H6x8fbOy06t2VsZHhMHf-1x7Y/edit?usp=sharing"",""แผน!IH27"")"),80)</f>
        <v>80</v>
      </c>
      <c r="J654" s="338">
        <f>J657+J660</f>
        <v>30.68</v>
      </c>
      <c r="K654" s="547">
        <f ca="1">IF(I654&gt;0,J654*100/I654,0)</f>
        <v>38.35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4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5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IFERROR(__xludf.DUMMYFUNCTION("IMPORTRANGE(""https://docs.google.com/spreadsheets/d/1eHaY18a8A9IcSdp1K8H6x8fbOy06t2VsZHhMHf-1x7Y/edit?usp=sharing"",""แผน!II27"")"),80)</f>
        <v>80</v>
      </c>
      <c r="J657" s="380">
        <v>30.68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IFERROR(__xludf.DUMMYFUNCTION("IMPORTRANGE(""https://docs.google.com/spreadsheets/d/1eHaY18a8A9IcSdp1K8H6x8fbOy06t2VsZHhMHf-1x7Y/edit?usp=sharing"",""แผน!IJ27"")"),0)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IFERROR(__xludf.DUMMYFUNCTION("IMPORTRANGE(""https://docs.google.com/spreadsheets/d/1eHaY18a8A9IcSdp1K8H6x8fbOy06t2VsZHhMHf-1x7Y/edit?usp=sharing"",""แผน!IK27"")"),1)</f>
        <v>1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IFERROR(__xludf.DUMMYFUNCTION("IMPORTRANGE(""https://docs.google.com/spreadsheets/d/1tdoBKaGub7dwA3U6UFTqxio9LNnvDCQjHKmttSEBsFQ/edit?usp=sharing"",""จัดที่ดิน!AY27"")"),0)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IFERROR(__xludf.DUMMYFUNCTION("IMPORTRANGE(""https://docs.google.com/spreadsheets/d/1tdoBKaGub7dwA3U6UFTqxio9LNnvDCQjHKmttSEBsFQ/edit?usp=sharing"",""จัดที่ดิน!AZ27"")"),0)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IFERROR(__xludf.DUMMYFUNCTION("IMPORTRANGE(""https://docs.google.com/spreadsheets/d/1eHaY18a8A9IcSdp1K8H6x8fbOy06t2VsZHhMHf-1x7Y/edit?usp=sharing"",""แผน!IL27"")"),100)</f>
        <v>100</v>
      </c>
      <c r="J673" s="184">
        <f ca="1">IFERROR(__xludf.DUMMYFUNCTION("IMPORTRANGE(""https://docs.google.com/spreadsheets/d/1tdoBKaGub7dwA3U6UFTqxio9LNnvDCQjHKmttSEBsFQ/edit?usp=sharing"",""จัดที่ดิน!BA27"")"),0)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IFERROR(__xludf.DUMMYFUNCTION("IMPORTRANGE(""https://docs.google.com/spreadsheets/d/1eHaY18a8A9IcSdp1K8H6x8fbOy06t2VsZHhMHf-1x7Y/edit?usp=sharing"",""แผน!IM27"")"),25)</f>
        <v>25</v>
      </c>
      <c r="J674" s="338">
        <f ca="1">J676+J679</f>
        <v>2</v>
      </c>
      <c r="K674" s="547">
        <f ca="1">IF(I674&gt;0,J674*100/I674,0)</f>
        <v>8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IFERROR(__xludf.DUMMYFUNCTION("IMPORTRANGE(""https://docs.google.com/spreadsheets/d/1eHaY18a8A9IcSdp1K8H6x8fbOy06t2VsZHhMHf-1x7Y/edit?usp=sharing"",""แผน!IN27"")"),210)</f>
        <v>210</v>
      </c>
      <c r="J675" s="338">
        <f ca="1">J678+J681</f>
        <v>12.12</v>
      </c>
      <c r="K675" s="547">
        <f ca="1">IF(I675&gt;0,J675*100/I675,0)</f>
        <v>5.7714285714285714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IFERROR(__xludf.DUMMYFUNCTION("IMPORTRANGE(""https://docs.google.com/spreadsheets/d/1eHaY18a8A9IcSdp1K8H6x8fbOy06t2VsZHhMHf-1x7Y/edit?usp=sharing"",""แผน!IO27"")"),20)</f>
        <v>20</v>
      </c>
      <c r="J676" s="184">
        <f ca="1">IFERROR(__xludf.DUMMYFUNCTION("IMPORTRANGE(""https://docs.google.com/spreadsheets/d/1tdoBKaGub7dwA3U6UFTqxio9LNnvDCQjHKmttSEBsFQ/edit?usp=sharing"",""จัดที่ดิน!BF27"")"),2)</f>
        <v>2</v>
      </c>
      <c r="K676" s="224">
        <f ca="1">IF(I676&gt;0,J676*100/I676,0)</f>
        <v>10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IFERROR(__xludf.DUMMYFUNCTION("IMPORTRANGE(""https://docs.google.com/spreadsheets/d/1tdoBKaGub7dwA3U6UFTqxio9LNnvDCQjHKmttSEBsFQ/edit?usp=sharing"",""จัดที่ดิน!BG27"")"),2)</f>
        <v>2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IFERROR(__xludf.DUMMYFUNCTION("IMPORTRANGE(""https://docs.google.com/spreadsheets/d/1eHaY18a8A9IcSdp1K8H6x8fbOy06t2VsZHhMHf-1x7Y/edit?usp=sharing"",""แผน!IP27"")"),160)</f>
        <v>160</v>
      </c>
      <c r="J678" s="184">
        <f ca="1">IFERROR(__xludf.DUMMYFUNCTION("IMPORTRANGE(""https://docs.google.com/spreadsheets/d/1tdoBKaGub7dwA3U6UFTqxio9LNnvDCQjHKmttSEBsFQ/edit?usp=sharing"",""จัดที่ดิน!BH27"")"),12.12)</f>
        <v>12.12</v>
      </c>
      <c r="K678" s="224">
        <f ca="1">IF(I678&gt;0,J678*100/I678,0)</f>
        <v>7.5750000000000002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IFERROR(__xludf.DUMMYFUNCTION("IMPORTRANGE(""https://docs.google.com/spreadsheets/d/1eHaY18a8A9IcSdp1K8H6x8fbOy06t2VsZHhMHf-1x7Y/edit?usp=sharing"",""แผน!IQ27"")"),5)</f>
        <v>5</v>
      </c>
      <c r="J679" s="184">
        <f ca="1">IFERROR(__xludf.DUMMYFUNCTION("IMPORTRANGE(""https://docs.google.com/spreadsheets/d/1tdoBKaGub7dwA3U6UFTqxio9LNnvDCQjHKmttSEBsFQ/edit?usp=sharing"",""จัดที่ดิน!BK27"")"),0)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IFERROR(__xludf.DUMMYFUNCTION("IMPORTRANGE(""https://docs.google.com/spreadsheets/d/1tdoBKaGub7dwA3U6UFTqxio9LNnvDCQjHKmttSEBsFQ/edit?usp=sharing"",""จัดที่ดิน!BL27"")"),0)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IFERROR(__xludf.DUMMYFUNCTION("IMPORTRANGE(""https://docs.google.com/spreadsheets/d/1eHaY18a8A9IcSdp1K8H6x8fbOy06t2VsZHhMHf-1x7Y/edit?usp=sharing"",""แผน!IR27"")"),50)</f>
        <v>50</v>
      </c>
      <c r="J681" s="184">
        <f ca="1">IFERROR(__xludf.DUMMYFUNCTION("IMPORTRANGE(""https://docs.google.com/spreadsheets/d/1tdoBKaGub7dwA3U6UFTqxio9LNnvDCQjHKmttSEBsFQ/edit?usp=sharing"",""จัดที่ดิน!BM27"")"),0)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IFERROR(__xludf.DUMMYFUNCTION("IMPORTRANGE(""https://docs.google.com/spreadsheets/d/1eHaY18a8A9IcSdp1K8H6x8fbOy06t2VsZHhMHf-1x7Y/edit?usp=sharing"",""แผน!IS27"")"),0)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2" t="s">
        <v>35</v>
      </c>
      <c r="I689" s="871">
        <f ca="1">I707</f>
        <v>0</v>
      </c>
      <c r="J689" s="871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66060</v>
      </c>
      <c r="R690" s="547">
        <f ca="1">R691+R692</f>
        <v>66060</v>
      </c>
      <c r="S690" s="547">
        <f ca="1">S691+S692</f>
        <v>0</v>
      </c>
      <c r="T690" s="547">
        <f ca="1">IF(Q690&gt;0,S690*100/Q690,0)</f>
        <v>0</v>
      </c>
      <c r="U690" s="547">
        <f ca="1">IF(R690&gt;0,S690*100/R690,0)</f>
        <v>0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66060</v>
      </c>
      <c r="R692" s="224">
        <f ca="1">R695+R698</f>
        <v>66060</v>
      </c>
      <c r="S692" s="224">
        <f ca="1">S695+S698</f>
        <v>0</v>
      </c>
      <c r="T692" s="224">
        <f ca="1">IF(Q692&gt;0,S692*100/Q692,0)</f>
        <v>0</v>
      </c>
      <c r="U692" s="224">
        <f ca="1">IF(R692&gt;0,S692*100/R692,0)</f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66060</v>
      </c>
      <c r="R693" s="224">
        <f ca="1">R694+R695</f>
        <v>66060</v>
      </c>
      <c r="S693" s="224">
        <f ca="1">S694+S695</f>
        <v>0</v>
      </c>
      <c r="T693" s="224">
        <f ca="1">IF(Q693&gt;0,S693*100/Q693,0)</f>
        <v>0</v>
      </c>
      <c r="U693" s="224">
        <f ca="1">IF(R693&gt;0,S693*100/R693,0)</f>
        <v>0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5" s="224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5" s="224">
        <f ca="1">IFERROR(__xludf.DUMMYFUNCTION("IMPORTRANGE(""https://docs.google.com/spreadsheets/d/1ItG2mGa2ceCfYo0BwxsXqNm01IGEUdYcSSLTEv9YCik/edit?usp=sharing"",""เบิกจ่ายกองทุน!N27"")"),0)</f>
        <v>0</v>
      </c>
      <c r="T695" s="224">
        <f ca="1">IF(Q695&gt;0,S695*100/Q695,0)</f>
        <v>0</v>
      </c>
      <c r="U695" s="224">
        <f ca="1">IF(R695&gt;0,S695*100/R695,0)</f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IFERROR(__xludf.DUMMYFUNCTION("IMPORTRANGE(""https://docs.google.com/spreadsheets/d/1eHaY18a8A9IcSdp1K8H6x8fbOy06t2VsZHhMHf-1x7Y/edit?usp=sharing"",""แผน!LC27"")"),0)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4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IFERROR(__xludf.DUMMYFUNCTION("IMPORTRANGE(""https://docs.google.com/spreadsheets/d/1eHaY18a8A9IcSdp1K8H6x8fbOy06t2VsZHhMHf-1x7Y/edit?usp=sharing"",""แผน!LJ27"")"),0)</f>
        <v>0</v>
      </c>
      <c r="J703" s="184">
        <f ca="1">IFERROR(__xludf.DUMMYFUNCTION("IMPORTRANGE(""https://docs.google.com/spreadsheets/d/1tdoBKaGub7dwA3U6UFTqxio9LNnvDCQjHKmttSEBsFQ/edit?usp=sharing"",""จัดที่ดิน!AP27"")"),0)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IFERROR(__xludf.DUMMYFUNCTION("IMPORTRANGE(""https://docs.google.com/spreadsheets/d/1tdoBKaGub7dwA3U6UFTqxio9LNnvDCQjHKmttSEBsFQ/edit?usp=sharing"",""จัดที่ดิน!AQ27"")"),0)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IFERROR(__xludf.DUMMYFUNCTION("IMPORTRANGE(""https://docs.google.com/spreadsheets/d/1eHaY18a8A9IcSdp1K8H6x8fbOy06t2VsZHhMHf-1x7Y/edit?usp=sharing"",""แผน!LK27"")"),4)</f>
        <v>4</v>
      </c>
      <c r="J705" s="184">
        <f ca="1">IFERROR(__xludf.DUMMYFUNCTION("IMPORTRANGE(""https://docs.google.com/spreadsheets/d/1tdoBKaGub7dwA3U6UFTqxio9LNnvDCQjHKmttSEBsFQ/edit?usp=sharing"",""จัดที่ดิน!AR27"")"),0)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IFERROR(__xludf.DUMMYFUNCTION("IMPORTRANGE(""https://docs.google.com/spreadsheets/d/1tdoBKaGub7dwA3U6UFTqxio9LNnvDCQjHKmttSEBsFQ/edit?usp=sharing"",""จัดที่ดิน!AS27"")"),0)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IFERROR(__xludf.DUMMYFUNCTION("IMPORTRANGE(""https://docs.google.com/spreadsheets/d/1eHaY18a8A9IcSdp1K8H6x8fbOy06t2VsZHhMHf-1x7Y/edit?usp=sharing"",""แผน!LJ27"")"),0)</f>
        <v>0</v>
      </c>
      <c r="J707" s="184">
        <f ca="1">IFERROR(__xludf.DUMMYFUNCTION("IMPORTRANGE(""https://docs.google.com/spreadsheets/d/1tdoBKaGub7dwA3U6UFTqxio9LNnvDCQjHKmttSEBsFQ/edit?usp=sharing"",""จัดที่ดิน!BN27"")"),0)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IFERROR(__xludf.DUMMYFUNCTION("IMPORTRANGE(""https://docs.google.com/spreadsheets/d/1tdoBKaGub7dwA3U6UFTqxio9LNnvDCQjHKmttSEBsFQ/edit?usp=sharing"",""จัดที่ดิน!BO27"")"),0)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IFERROR(__xludf.DUMMYFUNCTION("IMPORTRANGE(""https://docs.google.com/spreadsheets/d/1eHaY18a8A9IcSdp1K8H6x8fbOy06t2VsZHhMHf-1x7Y/edit?usp=sharing"",""แผน!LK27"")"),4)</f>
        <v>4</v>
      </c>
      <c r="J709" s="184">
        <f ca="1">IFERROR(__xludf.DUMMYFUNCTION("IMPORTRANGE(""https://docs.google.com/spreadsheets/d/1tdoBKaGub7dwA3U6UFTqxio9LNnvDCQjHKmttSEBsFQ/edit?usp=sharing"",""จัดที่ดิน!BP27"")"),5)</f>
        <v>5</v>
      </c>
      <c r="K709" s="224">
        <f ca="1">IF(I709&gt;0,J709*100/I709,0)</f>
        <v>125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IFERROR(__xludf.DUMMYFUNCTION("IMPORTRANGE(""https://docs.google.com/spreadsheets/d/1tdoBKaGub7dwA3U6UFTqxio9LNnvDCQjHKmttSEBsFQ/edit?usp=sharing"",""จัดที่ดิน!BQ27"")"),0)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IFERROR(__xludf.DUMMYFUNCTION("IMPORTRANGE(""https://docs.google.com/spreadsheets/d/1eHaY18a8A9IcSdp1K8H6x8fbOy06t2VsZHhMHf-1x7Y/edit?usp=sharing"",""แผน!GA27"")"),42)</f>
        <v>42</v>
      </c>
      <c r="J726" s="552">
        <f>J742+J746+J749</f>
        <v>50</v>
      </c>
      <c r="K726" s="551">
        <f ca="1">IF(I726&gt;0,J726*100/I726,0)</f>
        <v>119.04761904761905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IFERROR(__xludf.DUMMYFUNCTION("IMPORTRANGE(""https://docs.google.com/spreadsheets/d/1eHaY18a8A9IcSdp1K8H6x8fbOy06t2VsZHhMHf-1x7Y/edit?usp=sharing"",""แผน!FZ27"")"),400)</f>
        <v>400</v>
      </c>
      <c r="J727" s="552">
        <f>J752+J755</f>
        <v>400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322458</v>
      </c>
      <c r="R728" s="547">
        <f ca="1">R729+R730</f>
        <v>328458</v>
      </c>
      <c r="S728" s="547">
        <f ca="1">S729+S730</f>
        <v>280655</v>
      </c>
      <c r="T728" s="547">
        <f ca="1">IF(Q728&gt;0,S728*100/Q728,0)</f>
        <v>87.036141140861758</v>
      </c>
      <c r="U728" s="547">
        <f ca="1">IF(R728&gt;0,S728*100/R728,0)</f>
        <v>85.446236657350411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322458</v>
      </c>
      <c r="R730" s="224">
        <f ca="1">R733+R736</f>
        <v>328458</v>
      </c>
      <c r="S730" s="224">
        <f ca="1">S733+S736</f>
        <v>280655</v>
      </c>
      <c r="T730" s="224">
        <f ca="1">IF(Q730&gt;0,S730*100/Q730,0)</f>
        <v>87.036141140861758</v>
      </c>
      <c r="U730" s="224">
        <f ca="1">IF(R730&gt;0,S730*100/R730,0)</f>
        <v>85.446236657350411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322458</v>
      </c>
      <c r="R731" s="224">
        <f ca="1">R732+R733</f>
        <v>328458</v>
      </c>
      <c r="S731" s="224">
        <f ca="1">S732+S733</f>
        <v>280655</v>
      </c>
      <c r="T731" s="224">
        <f ca="1">IF(Q731&gt;0,S731*100/Q731,0)</f>
        <v>87.036141140861758</v>
      </c>
      <c r="U731" s="224">
        <f ca="1">IF(R731&gt;0,S731*100/R731,0)</f>
        <v>85.446236657350411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3" s="224">
        <f ca="1">IFERROR(__xludf.DUMMYFUNCTION("IMPORTRANGE(""https://docs.google.com/spreadsheets/d/1ItG2mGa2ceCfYo0BwxsXqNm01IGEUdYcSSLTEv9YCik/edit?usp=sharing"",""เบิกจ่ายกองทุน!P27"")"),328458)</f>
        <v>328458</v>
      </c>
      <c r="S733" s="224">
        <f ca="1">IFERROR(__xludf.DUMMYFUNCTION("IMPORTRANGE(""https://docs.google.com/spreadsheets/d/1ItG2mGa2ceCfYo0BwxsXqNm01IGEUdYcSSLTEv9YCik/edit?usp=sharing"",""เบิกจ่ายกองทุน!Q27"")"),280655)</f>
        <v>280655</v>
      </c>
      <c r="T733" s="224">
        <f ca="1">IF(Q733&gt;0,S733*100/Q733,0)</f>
        <v>87.036141140861758</v>
      </c>
      <c r="U733" s="224">
        <f ca="1">IF(R733&gt;0,S733*100/R733,0)</f>
        <v>85.446236657350411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IFERROR(__xludf.DUMMYFUNCTION("IMPORTRANGE(""https://docs.google.com/spreadsheets/d/1eHaY18a8A9IcSdp1K8H6x8fbOy06t2VsZHhMHf-1x7Y/edit?usp=sharing"",""แผน!GB27"")"),320)</f>
        <v>320</v>
      </c>
      <c r="J740" s="380">
        <v>320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380">
        <v>40</v>
      </c>
      <c r="K741" s="45"/>
      <c r="L741" s="543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IFERROR(__xludf.DUMMYFUNCTION("IMPORTRANGE(""https://docs.google.com/spreadsheets/d/1eHaY18a8A9IcSdp1K8H6x8fbOy06t2VsZHhMHf-1x7Y/edit?usp=sharing"",""แผน!GC27"")"),32)</f>
        <v>32</v>
      </c>
      <c r="J742" s="380">
        <v>40</v>
      </c>
      <c r="K742" s="224">
        <f ca="1">IF(I742&gt;0,J742*100/I742,0)</f>
        <v>125</v>
      </c>
      <c r="L742" s="543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543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IFERROR(__xludf.DUMMYFUNCTION("IMPORTRANGE(""https://docs.google.com/spreadsheets/d/1eHaY18a8A9IcSdp1K8H6x8fbOy06t2VsZHhMHf-1x7Y/edit?usp=sharing"",""แผน!GD27"")"),80)</f>
        <v>80</v>
      </c>
      <c r="J744" s="380">
        <v>80</v>
      </c>
      <c r="K744" s="224">
        <f ca="1">IF(I744&gt;0,J744*100/I744,0)</f>
        <v>100</v>
      </c>
      <c r="L744" s="543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8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IFERROR(__xludf.DUMMYFUNCTION("IMPORTRANGE(""https://docs.google.com/spreadsheets/d/1eHaY18a8A9IcSdp1K8H6x8fbOy06t2VsZHhMHf-1x7Y/edit?usp=sharing"",""แผน!GE27"")"),8)</f>
        <v>8</v>
      </c>
      <c r="J746" s="555">
        <v>8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IFERROR(__xludf.DUMMYFUNCTION("IMPORTRANGE(""https://docs.google.com/spreadsheets/d/1eHaY18a8A9IcSdp1K8H6x8fbOy06t2VsZHhMHf-1x7Y/edit?usp=sharing"",""แผน!GF27"")"),2)</f>
        <v>2</v>
      </c>
      <c r="J749" s="555">
        <v>2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IFERROR(__xludf.DUMMYFUNCTION("IMPORTRANGE(""https://docs.google.com/spreadsheets/d/1eHaY18a8A9IcSdp1K8H6x8fbOy06t2VsZHhMHf-1x7Y/edit?usp=sharing"",""แผน!GB27"")"),320)</f>
        <v>320</v>
      </c>
      <c r="J752" s="555">
        <v>320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IFERROR(__xludf.DUMMYFUNCTION("IMPORTRANGE(""https://docs.google.com/spreadsheets/d/1eHaY18a8A9IcSdp1K8H6x8fbOy06t2VsZHhMHf-1x7Y/edit?usp=sharing"",""แผน!GD27"")"),80)</f>
        <v>80</v>
      </c>
      <c r="J755" s="555">
        <v>80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250</v>
      </c>
      <c r="J759" s="552">
        <f>J774</f>
        <v>250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571100</v>
      </c>
      <c r="R760" s="547">
        <f ca="1">R761+R762</f>
        <v>571100</v>
      </c>
      <c r="S760" s="547">
        <f ca="1">S761+S762</f>
        <v>526686.67000000004</v>
      </c>
      <c r="T760" s="547">
        <f ca="1">IF(Q760&gt;0,S760*100/Q760,0)</f>
        <v>92.223195587462797</v>
      </c>
      <c r="U760" s="547">
        <f ca="1">IF(R760&gt;0,S760*100/R760,0)</f>
        <v>92.223195587462797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571100</v>
      </c>
      <c r="R762" s="224">
        <f ca="1">R765+R768</f>
        <v>571100</v>
      </c>
      <c r="S762" s="224">
        <f ca="1">S765+S768</f>
        <v>526686.67000000004</v>
      </c>
      <c r="T762" s="224">
        <f ca="1">IF(Q762&gt;0,S762*100/Q762,0)</f>
        <v>92.223195587462797</v>
      </c>
      <c r="U762" s="224">
        <f ca="1">IF(R762&gt;0,S762*100/R762,0)</f>
        <v>92.223195587462797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571100</v>
      </c>
      <c r="R763" s="224">
        <f ca="1">R764+R765</f>
        <v>571100</v>
      </c>
      <c r="S763" s="224">
        <f ca="1">S764+S765</f>
        <v>526686.67000000004</v>
      </c>
      <c r="T763" s="224">
        <f ca="1">IF(Q763&gt;0,S763*100/Q763,0)</f>
        <v>92.223195587462797</v>
      </c>
      <c r="U763" s="224">
        <f ca="1">IF(R763&gt;0,S763*100/R763,0)</f>
        <v>92.223195587462797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IFERROR(__xludf.DUMMYFUNCTION("IMPORTRANGE(""https://docs.google.com/spreadsheets/d/1ItG2mGa2ceCfYo0BwxsXqNm01IGEUdYcSSLTEv9YCik/edit?usp=sharing"",""เบิกจ่ายกองทุน!AA27"")"),571100)</f>
        <v>571100</v>
      </c>
      <c r="R765" s="224">
        <f ca="1">IFERROR(__xludf.DUMMYFUNCTION("IMPORTRANGE(""https://docs.google.com/spreadsheets/d/1ItG2mGa2ceCfYo0BwxsXqNm01IGEUdYcSSLTEv9YCik/edit?usp=sharing"",""เบิกจ่ายกองทุน!AB27"")"),571100)</f>
        <v>571100</v>
      </c>
      <c r="S765" s="224">
        <f ca="1">IFERROR(__xludf.DUMMYFUNCTION("IMPORTRANGE(""https://docs.google.com/spreadsheets/d/1ItG2mGa2ceCfYo0BwxsXqNm01IGEUdYcSSLTEv9YCik/edit?usp=sharing"",""เบิกจ่ายกองทุน!AC27"")"),526686.67)</f>
        <v>526686.67000000004</v>
      </c>
      <c r="T765" s="224">
        <f ca="1">IF(Q765&gt;0,S765*100/Q765,0)</f>
        <v>92.223195587462797</v>
      </c>
      <c r="U765" s="224">
        <f ca="1">IF(R765&gt;0,S765*100/R765,0)</f>
        <v>92.223195587462797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IFERROR(__xludf.DUMMYFUNCTION("IMPORTRANGE(""https://docs.google.com/spreadsheets/d/1eHaY18a8A9IcSdp1K8H6x8fbOy06t2VsZHhMHf-1x7Y/edit?usp=sharing"",""แผน!FI27"")"),1)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IFERROR(__xludf.DUMMYFUNCTION("IMPORTRANGE(""https://docs.google.com/spreadsheets/d/1eHaY18a8A9IcSdp1K8H6x8fbOy06t2VsZHhMHf-1x7Y/edit?usp=sharing"",""แผน!FQ27"")"),60)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IFERROR(__xludf.DUMMYFUNCTION("IMPORTRANGE(""https://docs.google.com/spreadsheets/d/1eHaY18a8A9IcSdp1K8H6x8fbOy06t2VsZHhMHf-1x7Y/edit?usp=sharing"",""แผน!FR27"")"),250)</f>
        <v>250</v>
      </c>
      <c r="J774" s="380">
        <v>250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IFERROR(__xludf.DUMMYFUNCTION("IMPORTRANGE(""https://docs.google.com/spreadsheets/d/1eHaY18a8A9IcSdp1K8H6x8fbOy06t2VsZHhMHf-1x7Y/edit?usp=sharing"",""แผน!FS27"")"),250)</f>
        <v>250</v>
      </c>
      <c r="J775" s="380">
        <v>250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IFERROR(__xludf.DUMMYFUNCTION("IMPORTRANGE(""https://docs.google.com/spreadsheets/d/1eHaY18a8A9IcSdp1K8H6x8fbOy06t2VsZHhMHf-1x7Y/edit?usp=sharing"",""แผน!FT27"")"),60)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IFERROR(__xludf.DUMMYFUNCTION("IMPORTRANGE(""https://docs.google.com/spreadsheets/d/10OvvATaaLtwErnr3qtWFcTmtbfpFEt5Bsqel9sXx0uE/edit?usp=sharing"",""งานกองทุน!D27"")"),1010000)</f>
        <v>1010000</v>
      </c>
      <c r="J778" s="184">
        <f ca="1">IFERROR(__xludf.DUMMYFUNCTION("IMPORTRANGE(""https://docs.google.com/spreadsheets/d/10OvvATaaLtwErnr3qtWFcTmtbfpFEt5Bsqel9sXx0uE/edit?usp=sharing"",""งานกองทุน!F27"")"),1379520)</f>
        <v>1379520</v>
      </c>
      <c r="K778" s="224">
        <f ca="1">IF(I778&gt;0,J778*100/I778,0)</f>
        <v>136.58613861386138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IFERROR(__xludf.DUMMYFUNCTION("IMPORTRANGE(""https://docs.google.com/spreadsheets/d/10OvvATaaLtwErnr3qtWFcTmtbfpFEt5Bsqel9sXx0uE/edit?usp=sharing"",""งานกองทุน!C27"")"),29)</f>
        <v>29</v>
      </c>
      <c r="J779" s="184">
        <f ca="1">IFERROR(__xludf.DUMMYFUNCTION("IMPORTRANGE(""https://docs.google.com/spreadsheets/d/10OvvATaaLtwErnr3qtWFcTmtbfpFEt5Bsqel9sXx0uE/edit?usp=sharing"",""งานกองทุน!E27"")"),44)</f>
        <v>44</v>
      </c>
      <c r="K779" s="224">
        <f ca="1">IF(I779&gt;0,J779*100/I779,0)</f>
        <v>151.72413793103448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4">
        <f ca="1">IFERROR(__xludf.DUMMYFUNCTION("IMPORTRANGE(""https://docs.google.com/spreadsheets/d/10OvvATaaLtwErnr3qtWFcTmtbfpFEt5Bsqel9sXx0uE/edit?usp=sharing"",""งานกองทุน!K27"")"),155595.8)</f>
        <v>155595.79999999999</v>
      </c>
      <c r="K780" s="224">
        <f ca="1">IF(I780&gt;0,J780*100/I780,0)</f>
        <v>2.7458225377991594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IFERROR(__xludf.DUMMYFUNCTION("IMPORTRANGE(""https://docs.google.com/spreadsheets/d/10OvvATaaLtwErnr3qtWFcTmtbfpFEt5Bsqel9sXx0uE/edit?usp=sharing"",""งานกองทุน!H27"")"),223)</f>
        <v>223</v>
      </c>
      <c r="J781" s="184">
        <f ca="1">IFERROR(__xludf.DUMMYFUNCTION("IMPORTRANGE(""https://docs.google.com/spreadsheets/d/10OvvATaaLtwErnr3qtWFcTmtbfpFEt5Bsqel9sXx0uE/edit?usp=sharing"",""งานกองทุน!J27"")"),29)</f>
        <v>29</v>
      </c>
      <c r="K781" s="224">
        <f ca="1">IF(I781&gt;0,J781*100/I781,0)</f>
        <v>13.004484304932735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4">
        <f ca="1">IFERROR(__xludf.DUMMYFUNCTION("IMPORTRANGE(""https://docs.google.com/spreadsheets/d/10OvvATaaLtwErnr3qtWFcTmtbfpFEt5Bsqel9sXx0uE/edit?usp=sharing"",""งานกองทุน!P27"")"),498295.24)</f>
        <v>498295.24</v>
      </c>
      <c r="K782" s="224">
        <f ca="1">IF(I782&gt;0,J782*100/I782,0)</f>
        <v>13.965882628782811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IFERROR(__xludf.DUMMYFUNCTION("IMPORTRANGE(""https://docs.google.com/spreadsheets/d/10OvvATaaLtwErnr3qtWFcTmtbfpFEt5Bsqel9sXx0uE/edit?usp=sharing"",""งานกองทุน!M27"")"),436)</f>
        <v>436</v>
      </c>
      <c r="J783" s="184">
        <f ca="1">IFERROR(__xludf.DUMMYFUNCTION("IMPORTRANGE(""https://docs.google.com/spreadsheets/d/10OvvATaaLtwErnr3qtWFcTmtbfpFEt5Bsqel9sXx0uE/edit?usp=sharing"",""งานกองทุน!O27"")"),29)</f>
        <v>29</v>
      </c>
      <c r="K783" s="224">
        <f ca="1">IF(I783&gt;0,J783*100/I783,0)</f>
        <v>6.6513761467889907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IFERROR(__xludf.DUMMYFUNCTION("IMPORTRANGE(""https://docs.google.com/spreadsheets/d/10OvvATaaLtwErnr3qtWFcTmtbfpFEt5Bsqel9sXx0uE/edit?usp=sharing"",""งานกองทุน!S27"")"),5656000)</f>
        <v>5656000</v>
      </c>
      <c r="J784" s="184">
        <f ca="1">IFERROR(__xludf.DUMMYFUNCTION("IMPORTRANGE(""https://docs.google.com/spreadsheets/d/10OvvATaaLtwErnr3qtWFcTmtbfpFEt5Bsqel9sXx0uE/edit?usp=sharing"",""งานกองทุน!U27"")"),1860000)</f>
        <v>1860000</v>
      </c>
      <c r="K784" s="224">
        <f ca="1">IF(I784&gt;0,J784*100/I784,0)</f>
        <v>32.885431400282883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IFERROR(__xludf.DUMMYFUNCTION("IMPORTRANGE(""https://docs.google.com/spreadsheets/d/10OvvATaaLtwErnr3qtWFcTmtbfpFEt5Bsqel9sXx0uE/edit?usp=sharing"",""งานกองทุน!R27"")"),202)</f>
        <v>202</v>
      </c>
      <c r="J785" s="188">
        <f ca="1">IFERROR(__xludf.DUMMYFUNCTION("IMPORTRANGE(""https://docs.google.com/spreadsheets/d/10OvvATaaLtwErnr3qtWFcTmtbfpFEt5Bsqel9sXx0uE/edit?usp=sharing"",""งานกองทุน!T27"")"),51)</f>
        <v>51</v>
      </c>
      <c r="K785" s="508">
        <f ca="1">IF(I785&gt;0,J785*100/I785,0)</f>
        <v>25.247524752475247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53E25-5AFB-4D86-9671-15F0BA529609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343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3572253</v>
      </c>
      <c r="M18" s="755">
        <f ca="1">M19+M20</f>
        <v>4080914.61</v>
      </c>
      <c r="N18" s="755">
        <f ca="1">N19+N20</f>
        <v>3257460.86</v>
      </c>
      <c r="O18" s="755">
        <f ca="1">IF(L18&gt;0,N18*100/L18,0)</f>
        <v>91.18785427571899</v>
      </c>
      <c r="P18" s="755">
        <f ca="1">IF(M18&gt;0,N18*100/M18,0)</f>
        <v>79.821833370828614</v>
      </c>
      <c r="Q18" s="755">
        <f ca="1">Q19+Q20</f>
        <v>4385897.1500000004</v>
      </c>
      <c r="R18" s="755">
        <f ca="1">R19+R20</f>
        <v>4390097</v>
      </c>
      <c r="S18" s="755">
        <f ca="1">S19+S20</f>
        <v>1880627.29</v>
      </c>
      <c r="T18" s="755">
        <f ca="1">IF(Q18&gt;0,S18*100/Q18,0)</f>
        <v>42.878964683428563</v>
      </c>
      <c r="U18" s="755">
        <f ca="1">IF(R18&gt;0,S18*100/R18,0)</f>
        <v>42.83794389964504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3572253</v>
      </c>
      <c r="M20" s="794">
        <f ca="1">M23+M26</f>
        <v>4080914.61</v>
      </c>
      <c r="N20" s="794">
        <f ca="1">N23+N26</f>
        <v>3257460.86</v>
      </c>
      <c r="O20" s="794">
        <f ca="1">IF(L20&gt;0,N20*100/L20,0)</f>
        <v>91.18785427571899</v>
      </c>
      <c r="P20" s="794">
        <f ca="1">IF(M20&gt;0,N20*100/M20,0)</f>
        <v>79.821833370828614</v>
      </c>
      <c r="Q20" s="794">
        <f ca="1">Q23+Q26</f>
        <v>4385897.1500000004</v>
      </c>
      <c r="R20" s="794">
        <f ca="1">R23+R26</f>
        <v>4390097</v>
      </c>
      <c r="S20" s="794">
        <f ca="1">S23+S26</f>
        <v>1880627.29</v>
      </c>
      <c r="T20" s="794">
        <f ca="1">IF(Q20&gt;0,S20*100/Q20,0)</f>
        <v>42.878964683428563</v>
      </c>
      <c r="U20" s="794">
        <f ca="1">IF(R20&gt;0,S20*100/R20,0)</f>
        <v>42.83794389964504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3572253</v>
      </c>
      <c r="M21" s="224">
        <f ca="1">M22+M23</f>
        <v>4080914.61</v>
      </c>
      <c r="N21" s="224">
        <f ca="1">N22+N23</f>
        <v>3257460.86</v>
      </c>
      <c r="O21" s="224">
        <f ca="1">IF(L21&gt;0,N21*100/L21,0)</f>
        <v>91.18785427571899</v>
      </c>
      <c r="P21" s="224">
        <f ca="1">IF(M21&gt;0,N21*100/M21,0)</f>
        <v>79.821833370828614</v>
      </c>
      <c r="Q21" s="224">
        <f ca="1">Q22+Q23</f>
        <v>3551374.15</v>
      </c>
      <c r="R21" s="224">
        <f ca="1">R22+R23</f>
        <v>3555574</v>
      </c>
      <c r="S21" s="224">
        <f ca="1">S22+S23</f>
        <v>1871104.29</v>
      </c>
      <c r="T21" s="224">
        <f ca="1">IF(Q21&gt;0,S21*100/Q21,0)</f>
        <v>52.686768866637159</v>
      </c>
      <c r="U21" s="224">
        <f ca="1">IF(R21&gt;0,S21*100/R21,0)</f>
        <v>52.624535166473827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3572253</v>
      </c>
      <c r="M23" s="224">
        <f ca="1">M49+M64+M77+M99+M122+M144+M162+M191+M178+M271+M287+M308+M325+M338+M361+M380+M418+M498+M518+M539+M560+M581+M604+M621+M647+M695+M719+M733+M765</f>
        <v>4080914.61</v>
      </c>
      <c r="N23" s="224">
        <f ca="1">N49+N64+N77+N99+N122+N144+N162+N191+N178+N271+N287+N308+N325+N338+N361+N380+N418+N498+N518+N539+N560+N581+N604+N621+N647+N695+N719+N733+N765</f>
        <v>3257460.86</v>
      </c>
      <c r="O23" s="224">
        <f ca="1">IF(L23&gt;0,N23*100/L23,0)</f>
        <v>91.18785427571899</v>
      </c>
      <c r="P23" s="224">
        <f ca="1">IF(M23&gt;0,N23*100/M23,0)</f>
        <v>79.821833370828614</v>
      </c>
      <c r="Q23" s="224">
        <f ca="1">Q77+Q99+Q122+Q144+Q162+Q178+Q191+Q271+Q287+Q308+Q338+Q380+Q397+Q418+Q498+Q604+Q621+Q647+Q695+Q719+Q733+Q765</f>
        <v>3551374.15</v>
      </c>
      <c r="R23" s="224">
        <f ca="1">R77+R99+R122+R144+R162+R178+R191+R271+R287+R308+R338+R380+R397+R418+R498+R604+R621+R647+R695+R719+R733+R765</f>
        <v>3555574</v>
      </c>
      <c r="S23" s="224">
        <f ca="1">S77+S99+S122+S144+S162+S178+S191+S271+S287+S308+S338+S380+S397+S418+S498+S604+S621+S647+S695+S719+S733+S765</f>
        <v>1871104.29</v>
      </c>
      <c r="T23" s="224">
        <f ca="1">IF(Q23&gt;0,S23*100/Q23,0)</f>
        <v>52.686768866637159</v>
      </c>
      <c r="U23" s="224">
        <f ca="1">IF(R23&gt;0,S23*100/R23,0)</f>
        <v>52.624535166473827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834523</v>
      </c>
      <c r="R24" s="224">
        <f ca="1">R25+R26</f>
        <v>834523</v>
      </c>
      <c r="S24" s="224">
        <f ca="1">S25+S26</f>
        <v>9523</v>
      </c>
      <c r="T24" s="224">
        <f ca="1">IF(Q24&gt;0,S24*100/Q24,0)</f>
        <v>1.1411309214964716</v>
      </c>
      <c r="U24" s="224">
        <f ca="1">IF(R24&gt;0,S24*100/R24,0)</f>
        <v>1.1411309214964716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834523</v>
      </c>
      <c r="R26" s="83">
        <f ca="1">R80+R102+R125+R147+R165+R181+R194+R274+R290+R311+R341+R383+R400+R421+R501+R607+R624+R650+R698+R722+R736+R768</f>
        <v>834523</v>
      </c>
      <c r="S26" s="83">
        <f ca="1">S80+S102+S125+S147+S165+S181+S194+S274+S290+S311+S341+S383+S400+S421+S501+S607+S624+S650+S698+S722+S736+S768</f>
        <v>9523</v>
      </c>
      <c r="T26" s="224">
        <f ca="1">IF(Q26&gt;0,S26*100/Q26,0)</f>
        <v>1.1411309214964716</v>
      </c>
      <c r="U26" s="224">
        <f ca="1">IF(R26&gt;0,S26*100/R26,0)</f>
        <v>1.1411309214964716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2834580</v>
      </c>
      <c r="M40" s="790">
        <f ca="1">M44+M59+M72+M94+M125+M139+M157+M173+M186+M266+M282+M303+M320+M333+M356</f>
        <v>3343241.61</v>
      </c>
      <c r="N40" s="790">
        <f ca="1">N44+N59+N72+N94+N125+N139+N157+N173+N186+N266+N282+N303+N320+N333+N356</f>
        <v>2871334.59</v>
      </c>
      <c r="O40" s="790">
        <f ca="1">IF(L40&gt;0,N40*100/L40,0)</f>
        <v>101.29665029739856</v>
      </c>
      <c r="P40" s="790">
        <f ca="1">IF(M40&gt;0,N40*100/M40,0)</f>
        <v>85.884746750325363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572420</v>
      </c>
      <c r="M44" s="784">
        <f ca="1">M45+M46</f>
        <v>690331.61</v>
      </c>
      <c r="N44" s="784">
        <f ca="1">N45+N46</f>
        <v>631141.61</v>
      </c>
      <c r="O44" s="784">
        <f ca="1">IF(L44&gt;0,N44*100/L44,0)</f>
        <v>110.25848328150659</v>
      </c>
      <c r="P44" s="784">
        <f ca="1">IF(M44&gt;0,N44*100/M44,0)</f>
        <v>91.425859812503731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572420</v>
      </c>
      <c r="M46" s="778">
        <f ca="1">M49+M52</f>
        <v>690331.61</v>
      </c>
      <c r="N46" s="778">
        <f ca="1">N49+N52</f>
        <v>631141.61</v>
      </c>
      <c r="O46" s="778">
        <f ca="1">IF(L46&gt;0,N46*100/L46,0)</f>
        <v>110.25848328150659</v>
      </c>
      <c r="P46" s="778">
        <f ca="1">IF(M46&gt;0,N46*100/M46,0)</f>
        <v>91.425859812503731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572420</v>
      </c>
      <c r="M47" s="224">
        <f ca="1">M48+M49</f>
        <v>690331.61</v>
      </c>
      <c r="N47" s="224">
        <f ca="1">N48+N49</f>
        <v>631141.61</v>
      </c>
      <c r="O47" s="224">
        <f ca="1">IF(L47&gt;0,N47*100/L47,0)</f>
        <v>110.25848328150659</v>
      </c>
      <c r="P47" s="224">
        <f ca="1">IF(M47&gt;0,N47*100/M47,0)</f>
        <v>91.425859812503731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IFERROR(__xludf.DUMMYFUNCTION("IMPORTRANGE(""https://docs.google.com/spreadsheets/d/1-uDff_7J0KD5mKrp0Vvzr7lt3OU09vwQwhkpOPPYv2Y/edit?usp=sharing"",""งบพรบ!P28"")"),572420)</f>
        <v>572420</v>
      </c>
      <c r="M49" s="224">
        <f ca="1">IFERROR(__xludf.DUMMYFUNCTION("IMPORTRANGE(""https://docs.google.com/spreadsheets/d/1-uDff_7J0KD5mKrp0Vvzr7lt3OU09vwQwhkpOPPYv2Y/edit?usp=sharing"",""งบพรบ!V28"")"),690331.61)</f>
        <v>690331.61</v>
      </c>
      <c r="N49" s="224">
        <f ca="1">IFERROR(__xludf.DUMMYFUNCTION("IMPORTRANGE(""https://docs.google.com/spreadsheets/d/1-uDff_7J0KD5mKrp0Vvzr7lt3OU09vwQwhkpOPPYv2Y/edit?usp=sharing"",""งบพรบ!Y28"")"),631141.61)</f>
        <v>631141.61</v>
      </c>
      <c r="O49" s="224">
        <f ca="1">IF(L49&gt;0,N49*100/L49,0)</f>
        <v>110.25848328150659</v>
      </c>
      <c r="P49" s="224">
        <f ca="1">IF(M49&gt;0,N49*100/M49,0)</f>
        <v>91.425859812503731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IFERROR(__xludf.DUMMYFUNCTION("IMPORTRANGE(""https://docs.google.com/spreadsheets/d/1-uDff_7J0KD5mKrp0Vvzr7lt3OU09vwQwhkpOPPYv2Y/edit?usp=sharing"",""งบพรบ!S28"")"),0)</f>
        <v>0</v>
      </c>
      <c r="M52" s="224">
        <f ca="1">IFERROR(__xludf.DUMMYFUNCTION("IMPORTRANGE(""https://docs.google.com/spreadsheets/d/1-uDff_7J0KD5mKrp0Vvzr7lt3OU09vwQwhkpOPPYv2Y/edit?usp=sharing"",""งบพรบ!W28"")"),0)</f>
        <v>0</v>
      </c>
      <c r="N52" s="224">
        <f ca="1">IFERROR(__xludf.DUMMYFUNCTION("IMPORTRANGE(""https://docs.google.com/spreadsheets/d/1-uDff_7J0KD5mKrp0Vvzr7lt3OU09vwQwhkpOPPYv2Y/edit?usp=sharing"",""งบพรบ!Z28"")"),0)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761700</v>
      </c>
      <c r="M59" s="772">
        <f ca="1">M60+M61</f>
        <v>761700</v>
      </c>
      <c r="N59" s="772">
        <f ca="1">N60+N61</f>
        <v>702213.51</v>
      </c>
      <c r="O59" s="772">
        <f ca="1">IF(L59&gt;0,N59*100/L59,0)</f>
        <v>92.190299330445058</v>
      </c>
      <c r="P59" s="772">
        <f ca="1">IF(M59&gt;0,N59*100/M59,0)</f>
        <v>92.190299330445058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761700</v>
      </c>
      <c r="M61" s="766">
        <f ca="1">M64+M67</f>
        <v>761700</v>
      </c>
      <c r="N61" s="766">
        <f ca="1">N64+N67</f>
        <v>702213.51</v>
      </c>
      <c r="O61" s="766">
        <f ca="1">IF(L61&gt;0,N61*100/L61,0)</f>
        <v>92.190299330445058</v>
      </c>
      <c r="P61" s="766">
        <f ca="1">IF(M61&gt;0,N61*100/M61,0)</f>
        <v>92.190299330445058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761700</v>
      </c>
      <c r="M62" s="224">
        <f ca="1">M63+M64</f>
        <v>761700</v>
      </c>
      <c r="N62" s="224">
        <f ca="1">N63+N64</f>
        <v>702213.51</v>
      </c>
      <c r="O62" s="224">
        <f ca="1">IF(L62&gt;0,N62*100/L62,0)</f>
        <v>92.190299330445058</v>
      </c>
      <c r="P62" s="224">
        <f ca="1">IF(M62&gt;0,N62*100/M62,0)</f>
        <v>92.190299330445058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IFERROR(__xludf.DUMMYFUNCTION("IMPORTRANGE(""https://docs.google.com/spreadsheets/d/1-uDff_7J0KD5mKrp0Vvzr7lt3OU09vwQwhkpOPPYv2Y/edit?usp=sharing"",""งบพรบ!AC28"")"),761700)</f>
        <v>761700</v>
      </c>
      <c r="M64" s="224">
        <f ca="1">IFERROR(__xludf.DUMMYFUNCTION("IMPORTRANGE(""https://docs.google.com/spreadsheets/d/1-uDff_7J0KD5mKrp0Vvzr7lt3OU09vwQwhkpOPPYv2Y/edit?usp=sharing"",""งบพรบ!AH28"")"),761700)</f>
        <v>761700</v>
      </c>
      <c r="N64" s="224">
        <f ca="1">IFERROR(__xludf.DUMMYFUNCTION("IMPORTRANGE(""https://docs.google.com/spreadsheets/d/1-uDff_7J0KD5mKrp0Vvzr7lt3OU09vwQwhkpOPPYv2Y/edit?usp=sharing"",""งบพรบ!AJ28"")"),702213.51)</f>
        <v>702213.51</v>
      </c>
      <c r="O64" s="224">
        <f ca="1">IF(L64&gt;0,N64*100/L64,0)</f>
        <v>92.190299330445058</v>
      </c>
      <c r="P64" s="224">
        <f ca="1">IF(M64&gt;0,N64*100/M64,0)</f>
        <v>92.190299330445058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IFERROR(__xludf.DUMMYFUNCTION("IMPORTRANGE(""https://docs.google.com/spreadsheets/d/1-uDff_7J0KD5mKrp0Vvzr7lt3OU09vwQwhkpOPPYv2Y/edit?usp=sharing"",""งบพรบ!AF28"")"),0)</f>
        <v>0</v>
      </c>
      <c r="M67" s="508">
        <f ca="1">IFERROR(__xludf.DUMMYFUNCTION("IMPORTRANGE(""https://docs.google.com/spreadsheets/d/1-uDff_7J0KD5mKrp0Vvzr7lt3OU09vwQwhkpOPPYv2Y/edit?usp=sharing"",""งบพรบ!AI28"")"),0)</f>
        <v>0</v>
      </c>
      <c r="N67" s="508">
        <f ca="1">IFERROR(__xludf.DUMMYFUNCTION("IMPORTRANGE(""https://docs.google.com/spreadsheets/d/1-uDff_7J0KD5mKrp0Vvzr7lt3OU09vwQwhkpOPPYv2Y/edit?usp=sharing"",""งบพรบ!AK28"")"),0)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77</v>
      </c>
      <c r="J71" s="756">
        <f>J83</f>
        <v>77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150000</v>
      </c>
      <c r="M72" s="547">
        <f ca="1">M73+M74</f>
        <v>150000</v>
      </c>
      <c r="N72" s="547">
        <f ca="1">N73+N74</f>
        <v>101874</v>
      </c>
      <c r="O72" s="547">
        <f ca="1">IF(L72&gt;0,N72*100/L72,0)</f>
        <v>67.915999999999997</v>
      </c>
      <c r="P72" s="547">
        <f ca="1">IF(M72&gt;0,N72*100/M72,0)</f>
        <v>67.915999999999997</v>
      </c>
      <c r="Q72" s="547">
        <f ca="1">Q73+Q74</f>
        <v>1729763</v>
      </c>
      <c r="R72" s="547">
        <f ca="1">R73+R74</f>
        <v>1729763</v>
      </c>
      <c r="S72" s="547">
        <f ca="1">S73+S74</f>
        <v>282183</v>
      </c>
      <c r="T72" s="547">
        <f ca="1">IF(Q72&gt;0,S72*100/Q72,0)</f>
        <v>16.313390909621724</v>
      </c>
      <c r="U72" s="547">
        <f ca="1">IF(R72&gt;0,S72*100/R72,0)</f>
        <v>16.313390909621724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150000</v>
      </c>
      <c r="M74" s="224">
        <f ca="1">M77+M80</f>
        <v>150000</v>
      </c>
      <c r="N74" s="224">
        <f ca="1">N77+N80</f>
        <v>101874</v>
      </c>
      <c r="O74" s="224">
        <f ca="1">IF(L74&gt;0,N74*100/L74,0)</f>
        <v>67.915999999999997</v>
      </c>
      <c r="P74" s="224">
        <f ca="1">IF(M74&gt;0,N74*100/M74,0)</f>
        <v>67.915999999999997</v>
      </c>
      <c r="Q74" s="224">
        <f ca="1">Q77+Q80</f>
        <v>1729763</v>
      </c>
      <c r="R74" s="224">
        <f ca="1">R77+R80</f>
        <v>1729763</v>
      </c>
      <c r="S74" s="224">
        <f ca="1">S77+S80</f>
        <v>282183</v>
      </c>
      <c r="T74" s="224">
        <f ca="1">IF(Q74&gt;0,S74*100/Q74,0)</f>
        <v>16.313390909621724</v>
      </c>
      <c r="U74" s="224">
        <f ca="1">IF(R74&gt;0,S74*100/R74,0)</f>
        <v>16.313390909621724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150000</v>
      </c>
      <c r="M75" s="224">
        <f ca="1">M76+M77</f>
        <v>150000</v>
      </c>
      <c r="N75" s="224">
        <f ca="1">N76+N77</f>
        <v>101874</v>
      </c>
      <c r="O75" s="224">
        <f ca="1">IF(L75&gt;0,N75*100/L75,0)</f>
        <v>67.915999999999997</v>
      </c>
      <c r="P75" s="224">
        <f ca="1">IF(M75&gt;0,N75*100/M75,0)</f>
        <v>67.915999999999997</v>
      </c>
      <c r="Q75" s="224">
        <f ca="1">Q76+Q77</f>
        <v>895240</v>
      </c>
      <c r="R75" s="224">
        <f ca="1">R76+R77</f>
        <v>895240</v>
      </c>
      <c r="S75" s="224">
        <f ca="1">S76+S77</f>
        <v>272660</v>
      </c>
      <c r="T75" s="224">
        <f ca="1">IF(Q75&gt;0,S75*100/Q75,0)</f>
        <v>30.456637326303561</v>
      </c>
      <c r="U75" s="224">
        <f ca="1">IF(R75&gt;0,S75*100/R75,0)</f>
        <v>30.456637326303561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IFERROR(__xludf.DUMMYFUNCTION("IMPORTRANGE(""https://docs.google.com/spreadsheets/d/1-uDff_7J0KD5mKrp0Vvzr7lt3OU09vwQwhkpOPPYv2Y/edit?usp=sharing"",""งบพรบ!AM28"")"),150000)</f>
        <v>150000</v>
      </c>
      <c r="M77" s="224">
        <f ca="1">IFERROR(__xludf.DUMMYFUNCTION("IMPORTRANGE(""https://docs.google.com/spreadsheets/d/1-uDff_7J0KD5mKrp0Vvzr7lt3OU09vwQwhkpOPPYv2Y/edit?usp=sharing"",""งบพรบ!AR28"")"),150000)</f>
        <v>150000</v>
      </c>
      <c r="N77" s="224">
        <f ca="1">IFERROR(__xludf.DUMMYFUNCTION("IMPORTRANGE(""https://docs.google.com/spreadsheets/d/1-uDff_7J0KD5mKrp0Vvzr7lt3OU09vwQwhkpOPPYv2Y/edit?usp=sharing"",""งบพรบ!AT28"")"),101874)</f>
        <v>101874</v>
      </c>
      <c r="O77" s="224">
        <f ca="1">IF(L77&gt;0,N77*100/L77,0)</f>
        <v>67.915999999999997</v>
      </c>
      <c r="P77" s="224">
        <f ca="1">IF(M77&gt;0,N77*100/M77,0)</f>
        <v>67.915999999999997</v>
      </c>
      <c r="Q77" s="224">
        <f ca="1">IFERROR(__xludf.DUMMYFUNCTION("IMPORTRANGE(""https://docs.google.com/spreadsheets/d/1ItG2mGa2ceCfYo0BwxsXqNm01IGEUdYcSSLTEv9YCik/edit?usp=sharing"",""เบิกจ่ายกองทุน!BH28"")"),895240)</f>
        <v>895240</v>
      </c>
      <c r="R77" s="224">
        <f ca="1">IFERROR(__xludf.DUMMYFUNCTION("IMPORTRANGE(""https://docs.google.com/spreadsheets/d/1ItG2mGa2ceCfYo0BwxsXqNm01IGEUdYcSSLTEv9YCik/edit?usp=sharing"",""เบิกจ่ายกองทุน!BI28"")"),895240)</f>
        <v>895240</v>
      </c>
      <c r="S77" s="224">
        <f ca="1">IFERROR(__xludf.DUMMYFUNCTION("IMPORTRANGE(""https://docs.google.com/spreadsheets/d/1ItG2mGa2ceCfYo0BwxsXqNm01IGEUdYcSSLTEv9YCik/edit?usp=sharing"",""เบิกจ่ายกองทุน!BJ28"")"),272660)</f>
        <v>272660</v>
      </c>
      <c r="T77" s="224">
        <f ca="1">IF(Q77&gt;0,S77*100/Q77,0)</f>
        <v>30.456637326303561</v>
      </c>
      <c r="U77" s="224">
        <f ca="1">IF(R77&gt;0,S77*100/R77,0)</f>
        <v>30.456637326303561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834523</v>
      </c>
      <c r="R78" s="224">
        <f ca="1">R79+R80</f>
        <v>834523</v>
      </c>
      <c r="S78" s="224">
        <f ca="1">S79+S80</f>
        <v>9523</v>
      </c>
      <c r="T78" s="224">
        <f ca="1">IF(Q78&gt;0,S78*100/Q78,0)</f>
        <v>1.1411309214964716</v>
      </c>
      <c r="U78" s="224">
        <f ca="1">IF(R78&gt;0,S78*100/R78,0)</f>
        <v>1.1411309214964716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IFERROR(__xludf.DUMMYFUNCTION("IMPORTRANGE(""https://docs.google.com/spreadsheets/d/1-uDff_7J0KD5mKrp0Vvzr7lt3OU09vwQwhkpOPPYv2Y/edit?usp=sharing"",""งบพรบ!AP28"")"),0)</f>
        <v>0</v>
      </c>
      <c r="M80" s="224">
        <f ca="1">IFERROR(__xludf.DUMMYFUNCTION("IMPORTRANGE(""https://docs.google.com/spreadsheets/d/1-uDff_7J0KD5mKrp0Vvzr7lt3OU09vwQwhkpOPPYv2Y/edit?usp=sharing"",""งบพรบ!AS28"")"),0)</f>
        <v>0</v>
      </c>
      <c r="N80" s="224">
        <f ca="1">IFERROR(__xludf.DUMMYFUNCTION("IMPORTRANGE(""https://docs.google.com/spreadsheets/d/1-uDff_7J0KD5mKrp0Vvzr7lt3OU09vwQwhkpOPPYv2Y/edit?usp=sharing"",""งบพรบ!AU28"")"),0)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IFERROR(__xludf.DUMMYFUNCTION("IMPORTRANGE(""https://docs.google.com/spreadsheets/d/1ItG2mGa2ceCfYo0BwxsXqNm01IGEUdYcSSLTEv9YCik/edit?usp=sharing"",""เบิกจ่ายกองทุน!BK28"")"),834523)</f>
        <v>834523</v>
      </c>
      <c r="R80" s="224">
        <f ca="1">IFERROR(__xludf.DUMMYFUNCTION("IMPORTRANGE(""https://docs.google.com/spreadsheets/d/1ItG2mGa2ceCfYo0BwxsXqNm01IGEUdYcSSLTEv9YCik/edit?usp=sharing"",""เบิกจ่ายกองทุน!BL28"")"),834523)</f>
        <v>834523</v>
      </c>
      <c r="S80" s="224">
        <f ca="1">IFERROR(__xludf.DUMMYFUNCTION("IMPORTRANGE(""https://docs.google.com/spreadsheets/d/1ItG2mGa2ceCfYo0BwxsXqNm01IGEUdYcSSLTEv9YCik/edit?usp=sharing"",""เบิกจ่ายกองทุน!BM28"")"),9523)</f>
        <v>9523</v>
      </c>
      <c r="T80" s="224">
        <f ca="1">IF(Q80&gt;0,S80*100/Q80,0)</f>
        <v>1.1411309214964716</v>
      </c>
      <c r="U80" s="224">
        <f ca="1">IF(R80&gt;0,S80*100/R80,0)</f>
        <v>1.1411309214964716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77</v>
      </c>
      <c r="J83" s="338">
        <f>J85+J87+J89</f>
        <v>77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IFERROR(__xludf.DUMMYFUNCTION("IMPORTRANGE(""https://docs.google.com/spreadsheets/d/1eHaY18a8A9IcSdp1K8H6x8fbOy06t2VsZHhMHf-1x7Y/edit?usp=sharing"",""แผน!H28"")"),1)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IFERROR(__xludf.DUMMYFUNCTION("IMPORTRANGE(""https://docs.google.com/spreadsheets/d/1eHaY18a8A9IcSdp1K8H6x8fbOy06t2VsZHhMHf-1x7Y/edit?usp=sharing"",""แผน!I28"")"),47)</f>
        <v>47</v>
      </c>
      <c r="J85" s="380">
        <v>47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IFERROR(__xludf.DUMMYFUNCTION("IMPORTRANGE(""https://docs.google.com/spreadsheets/d/1eHaY18a8A9IcSdp1K8H6x8fbOy06t2VsZHhMHf-1x7Y/edit?usp=sharing"",""แผน!F28"")"),1)</f>
        <v>1</v>
      </c>
      <c r="J86" s="380">
        <v>1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IFERROR(__xludf.DUMMYFUNCTION("IMPORTRANGE(""https://docs.google.com/spreadsheets/d/1eHaY18a8A9IcSdp1K8H6x8fbOy06t2VsZHhMHf-1x7Y/edit?usp=sharing"",""แผน!G28"")"),30)</f>
        <v>30</v>
      </c>
      <c r="J87" s="380">
        <v>30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IFERROR(__xludf.DUMMYFUNCTION("IMPORTRANGE(""https://docs.google.com/spreadsheets/d/1eHaY18a8A9IcSdp1K8H6x8fbOy06t2VsZHhMHf-1x7Y/edit?usp=sharing"",""แผน!D28"")"),0)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IFERROR(__xludf.DUMMYFUNCTION("IMPORTRANGE(""https://docs.google.com/spreadsheets/d/1eHaY18a8A9IcSdp1K8H6x8fbOy06t2VsZHhMHf-1x7Y/edit?usp=sharing"",""แผน!E28"")"),0)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IFERROR(__xludf.DUMMYFUNCTION("IMPORTRANGE(""https://docs.google.com/spreadsheets/d/1eHaY18a8A9IcSdp1K8H6x8fbOy06t2VsZHhMHf-1x7Y/edit?usp=sharing"",""แผน!J28"")"),2)</f>
        <v>2</v>
      </c>
      <c r="J90" s="380">
        <v>2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IFERROR(__xludf.DUMMYFUNCTION("IMPORTRANGE(""https://docs.google.com/spreadsheets/d/1-uDff_7J0KD5mKrp0Vvzr7lt3OU09vwQwhkpOPPYv2Y/edit?usp=sharing"",""งบพรบ!AW28"")"),0)</f>
        <v>0</v>
      </c>
      <c r="M99" s="224">
        <f ca="1">IFERROR(__xludf.DUMMYFUNCTION("IMPORTRANGE(""https://docs.google.com/spreadsheets/d/1-uDff_7J0KD5mKrp0Vvzr7lt3OU09vwQwhkpOPPYv2Y/edit?usp=sharing"",""งบพรบ!BB28"")"),0)</f>
        <v>0</v>
      </c>
      <c r="N99" s="224">
        <f ca="1">IFERROR(__xludf.DUMMYFUNCTION("IMPORTRANGE(""https://docs.google.com/spreadsheets/d/1-uDff_7J0KD5mKrp0Vvzr7lt3OU09vwQwhkpOPPYv2Y/edit?usp=sharing"",""งบพรบ!BD28"")"),0)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IFERROR(__xludf.DUMMYFUNCTION("IMPORTRANGE(""https://docs.google.com/spreadsheets/d/1ItG2mGa2ceCfYo0BwxsXqNm01IGEUdYcSSLTEv9YCik/edit?usp=sharing"",""เบิกจ่ายกองทุน!AJ28"")"),0)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IFERROR(__xludf.DUMMYFUNCTION("IMPORTRANGE(""https://docs.google.com/spreadsheets/d/1ItG2mGa2ceCfYo0BwxsXqNm01IGEUdYcSSLTEv9YCik/edit?usp=sharing"",""เบิกจ่ายกองทุน!AK28"")"),0)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IFERROR(__xludf.DUMMYFUNCTION("IMPORTRANGE(""https://docs.google.com/spreadsheets/d/1ItG2mGa2ceCfYo0BwxsXqNm01IGEUdYcSSLTEv9YCik/edit?usp=sharing"",""เบิกจ่ายกองทุน!AL28"")"),0)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IFERROR(__xludf.DUMMYFUNCTION("IMPORTRANGE(""https://docs.google.com/spreadsheets/d/1-uDff_7J0KD5mKrp0Vvzr7lt3OU09vwQwhkpOPPYv2Y/edit?usp=sharing"",""งบพรบ!AZ28"")"),0)</f>
        <v>0</v>
      </c>
      <c r="M102" s="224">
        <f ca="1">IFERROR(__xludf.DUMMYFUNCTION("IMPORTRANGE(""https://docs.google.com/spreadsheets/d/1-uDff_7J0KD5mKrp0Vvzr7lt3OU09vwQwhkpOPPYv2Y/edit?usp=sharing"",""งบพรบ!BC28"")"),0)</f>
        <v>0</v>
      </c>
      <c r="N102" s="224">
        <f ca="1">IFERROR(__xludf.DUMMYFUNCTION("IMPORTRANGE(""https://docs.google.com/spreadsheets/d/1-uDff_7J0KD5mKrp0Vvzr7lt3OU09vwQwhkpOPPYv2Y/edit?usp=sharing"",""งบพรบ!BE28"")"),0)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IFERROR(__xludf.DUMMYFUNCTION("IMPORTRANGE(""https://docs.google.com/spreadsheets/d/1eHaY18a8A9IcSdp1K8H6x8fbOy06t2VsZHhMHf-1x7Y/edit?usp=sharing"",""แผน!N28"")"),0)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IFERROR(__xludf.DUMMYFUNCTION("IMPORTRANGE(""https://docs.google.com/spreadsheets/d/1eHaY18a8A9IcSdp1K8H6x8fbOy06t2VsZHhMHf-1x7Y/edit?usp=sharing"",""แผน!O28"")"),0)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IFERROR(__xludf.DUMMYFUNCTION("IMPORTRANGE(""https://docs.google.com/spreadsheets/d/1eHaY18a8A9IcSdp1K8H6x8fbOy06t2VsZHhMHf-1x7Y/edit?usp=sharing"",""แผน!R28"")"),0)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100</v>
      </c>
      <c r="J116" s="756">
        <f>J127</f>
        <v>100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408480</v>
      </c>
      <c r="R117" s="547">
        <f ca="1">R118+R119</f>
        <v>408480</v>
      </c>
      <c r="S117" s="547">
        <f ca="1">S118+S119</f>
        <v>356090</v>
      </c>
      <c r="T117" s="547">
        <f ca="1">IF(Q117&gt;0,S117*100/Q117,0)</f>
        <v>87.174402663533101</v>
      </c>
      <c r="U117" s="547">
        <f ca="1">IF(R117&gt;0,S117*100/R117,0)</f>
        <v>87.174402663533101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408480</v>
      </c>
      <c r="R119" s="224">
        <f ca="1">R122+R125</f>
        <v>408480</v>
      </c>
      <c r="S119" s="224">
        <f ca="1">S122+S125</f>
        <v>356090</v>
      </c>
      <c r="T119" s="224">
        <f ca="1">IF(Q119&gt;0,S119*100/Q119,0)</f>
        <v>87.174402663533101</v>
      </c>
      <c r="U119" s="224">
        <f ca="1">IF(R119&gt;0,S119*100/R119,0)</f>
        <v>87.174402663533101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356090</v>
      </c>
      <c r="T120" s="224">
        <f ca="1">IF(Q120&gt;0,S120*100/Q120,0)</f>
        <v>87.174402663533101</v>
      </c>
      <c r="U120" s="224">
        <f ca="1">IF(R120&gt;0,S120*100/R120,0)</f>
        <v>87.174402663533101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IFERROR(__xludf.DUMMYFUNCTION("IMPORTRANGE(""https://docs.google.com/spreadsheets/d/1-uDff_7J0KD5mKrp0Vvzr7lt3OU09vwQwhkpOPPYv2Y/edit?usp=sharing"",""งบพรบ!BG28"")"),0)</f>
        <v>0</v>
      </c>
      <c r="M122" s="224">
        <f ca="1">IFERROR(__xludf.DUMMYFUNCTION("IMPORTRANGE(""https://docs.google.com/spreadsheets/d/1-uDff_7J0KD5mKrp0Vvzr7lt3OU09vwQwhkpOPPYv2Y/edit?usp=sharing"",""งบพรบ!BL28"")"),0)</f>
        <v>0</v>
      </c>
      <c r="N122" s="224">
        <f ca="1">IFERROR(__xludf.DUMMYFUNCTION("IMPORTRANGE(""https://docs.google.com/spreadsheets/d/1-uDff_7J0KD5mKrp0Vvzr7lt3OU09vwQwhkpOPPYv2Y/edit?usp=sharing"",""งบพรบ!BN28"")"),0)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IFERROR(__xludf.DUMMYFUNCTION("IMPORTRANGE(""https://docs.google.com/spreadsheets/d/1ItG2mGa2ceCfYo0BwxsXqNm01IGEUdYcSSLTEv9YCik/edit?usp=sharing"",""เบิกจ่ายกองทุน!V28"")"),408480)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IFERROR(__xludf.DUMMYFUNCTION("IMPORTRANGE(""https://docs.google.com/spreadsheets/d/1ItG2mGa2ceCfYo0BwxsXqNm01IGEUdYcSSLTEv9YCik/edit?usp=sharing"",""เบิกจ่ายกองทุน!W28"")"),356090)</f>
        <v>356090</v>
      </c>
      <c r="T122" s="224">
        <f ca="1">IF(Q122&gt;0,S122*100/Q122,0)</f>
        <v>87.174402663533101</v>
      </c>
      <c r="U122" s="224">
        <f ca="1">IF(R122&gt;0,S122*100/R122,0)</f>
        <v>87.174402663533101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IFERROR(__xludf.DUMMYFUNCTION("IMPORTRANGE(""https://docs.google.com/spreadsheets/d/1-uDff_7J0KD5mKrp0Vvzr7lt3OU09vwQwhkpOPPYv2Y/edit?usp=sharing"",""งบพรบ!BJ28"")"),0)</f>
        <v>0</v>
      </c>
      <c r="M125" s="224">
        <f ca="1">IFERROR(__xludf.DUMMYFUNCTION("IMPORTRANGE(""https://docs.google.com/spreadsheets/d/1-uDff_7J0KD5mKrp0Vvzr7lt3OU09vwQwhkpOPPYv2Y/edit?usp=sharing"",""งบพรบ!BM28"")"),0)</f>
        <v>0</v>
      </c>
      <c r="N125" s="224">
        <f ca="1">IFERROR(__xludf.DUMMYFUNCTION("IMPORTRANGE(""https://docs.google.com/spreadsheets/d/1-uDff_7J0KD5mKrp0Vvzr7lt3OU09vwQwhkpOPPYv2Y/edit?usp=sharing"",""งบพรบ!BO28"")"),0)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IFERROR(__xludf.DUMMYFUNCTION("IMPORTRANGE(""https://docs.google.com/spreadsheets/d/1ItG2mGa2ceCfYo0BwxsXqNm01IGEUdYcSSLTEv9YCik/edit?usp=sharing"",""เบิกจ่ายกองทุน!X28"")"),0)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IFERROR(__xludf.DUMMYFUNCTION("IMPORTRANGE(""https://docs.google.com/spreadsheets/d/1ItG2mGa2ceCfYo0BwxsXqNm01IGEUdYcSSLTEv9YCik/edit?usp=sharing"",""เบิกจ่ายกองทุน!Y28"")"),0)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IFERROR(__xludf.DUMMYFUNCTION("IMPORTRANGE(""https://docs.google.com/spreadsheets/d/1ItG2mGa2ceCfYo0BwxsXqNm01IGEUdYcSSLTEv9YCik/edit?usp=sharing"",""เบิกจ่ายกองทุน!Z28"")"),0)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IFERROR(__xludf.DUMMYFUNCTION("IMPORTRANGE(""https://docs.google.com/spreadsheets/d/1eHaY18a8A9IcSdp1K8H6x8fbOy06t2VsZHhMHf-1x7Y/edit?usp=sharing"",""แผน!FF28"")"),100)</f>
        <v>100</v>
      </c>
      <c r="J127" s="380">
        <v>100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IFERROR(__xludf.DUMMYFUNCTION("IMPORTRANGE(""https://docs.google.com/spreadsheets/d/1eHaY18a8A9IcSdp1K8H6x8fbOy06t2VsZHhMHf-1x7Y/edit?usp=sharing"",""แผน!FG28"")"),3)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IFERROR(__xludf.DUMMYFUNCTION("IMPORTRANGE(""https://docs.google.com/spreadsheets/d/1eHaY18a8A9IcSdp1K8H6x8fbOy06t2VsZHhMHf-1x7Y/edit?usp=sharing"",""แผน!FH28"")"),20)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IFERROR(__xludf.DUMMYFUNCTION("IMPORTRANGE(""https://docs.google.com/spreadsheets/d/1eHaY18a8A9IcSdp1K8H6x8fbOy06t2VsZHhMHf-1x7Y/edit?usp=sharing"",""แผน!FI28"")"),1)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IFERROR(__xludf.DUMMYFUNCTION("IMPORTRANGE(""https://docs.google.com/spreadsheets/d/1-uDff_7J0KD5mKrp0Vvzr7lt3OU09vwQwhkpOPPYv2Y/edit?usp=sharing"",""งบพรบ!BQ28"")"),0)</f>
        <v>0</v>
      </c>
      <c r="M144" s="224">
        <f ca="1">IFERROR(__xludf.DUMMYFUNCTION("IMPORTRANGE(""https://docs.google.com/spreadsheets/d/1-uDff_7J0KD5mKrp0Vvzr7lt3OU09vwQwhkpOPPYv2Y/edit?usp=sharing"",""งบพรบ!BV28"")"),0)</f>
        <v>0</v>
      </c>
      <c r="N144" s="224">
        <f ca="1">IFERROR(__xludf.DUMMYFUNCTION("IMPORTRANGE(""https://docs.google.com/spreadsheets/d/1-uDff_7J0KD5mKrp0Vvzr7lt3OU09vwQwhkpOPPYv2Y/edit?usp=sharing"",""งบพรบ!BX28"")"),0)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IFERROR(__xludf.DUMMYFUNCTION("IMPORTRANGE(""https://docs.google.com/spreadsheets/d/1ItG2mGa2ceCfYo0BwxsXqNm01IGEUdYcSSLTEv9YCik/edit?usp=sharing"",""เบิกจ่ายกองทุน!CF28"")"),0)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IFERROR(__xludf.DUMMYFUNCTION("IMPORTRANGE(""https://docs.google.com/spreadsheets/d/1ItG2mGa2ceCfYo0BwxsXqNm01IGEUdYcSSLTEv9YCik/edit?usp=sharing"",""เบิกจ่ายกองทุน!CG28"")"),0)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IFERROR(__xludf.DUMMYFUNCTION("IMPORTRANGE(""https://docs.google.com/spreadsheets/d/1ItG2mGa2ceCfYo0BwxsXqNm01IGEUdYcSSLTEv9YCik/edit?usp=sharing"",""เบิกจ่ายกองทุน!CH28"")"),0)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IFERROR(__xludf.DUMMYFUNCTION("IMPORTRANGE(""https://docs.google.com/spreadsheets/d/1-uDff_7J0KD5mKrp0Vvzr7lt3OU09vwQwhkpOPPYv2Y/edit?usp=sharing"",""งบพรบ!BT28"")"),0)</f>
        <v>0</v>
      </c>
      <c r="M147" s="224">
        <f ca="1">IFERROR(__xludf.DUMMYFUNCTION("IMPORTRANGE(""https://docs.google.com/spreadsheets/d/1-uDff_7J0KD5mKrp0Vvzr7lt3OU09vwQwhkpOPPYv2Y/edit?usp=sharing"",""งบพรบ!BW28"")"),0)</f>
        <v>0</v>
      </c>
      <c r="N147" s="224">
        <f ca="1">IFERROR(__xludf.DUMMYFUNCTION("IMPORTRANGE(""https://docs.google.com/spreadsheets/d/1-uDff_7J0KD5mKrp0Vvzr7lt3OU09vwQwhkpOPPYv2Y/edit?usp=sharing"",""งบพรบ!BY28"")"),0)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IFERROR(__xludf.DUMMYFUNCTION("IMPORTRANGE(""https://docs.google.com/spreadsheets/d/1ItG2mGa2ceCfYo0BwxsXqNm01IGEUdYcSSLTEv9YCik/edit?usp=sharing"",""เบิกจ่ายกองทุน!CI28"")"),0)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IFERROR(__xludf.DUMMYFUNCTION("IMPORTRANGE(""https://docs.google.com/spreadsheets/d/1ItG2mGa2ceCfYo0BwxsXqNm01IGEUdYcSSLTEv9YCik/edit?usp=sharing"",""เบิกจ่ายกองทุน!CJ28"")"),0)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IFERROR(__xludf.DUMMYFUNCTION("IMPORTRANGE(""https://docs.google.com/spreadsheets/d/1ItG2mGa2ceCfYo0BwxsXqNm01IGEUdYcSSLTEv9YCik/edit?usp=sharing"",""เบิกจ่ายกองทุน!CK28"")"),0)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IFERROR(__xludf.DUMMYFUNCTION("IMPORTRANGE(""https://docs.google.com/spreadsheets/d/1eHaY18a8A9IcSdp1K8H6x8fbOy06t2VsZHhMHf-1x7Y/edit?usp=sharing"",""แผน!U28"")"),0)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IFERROR(__xludf.DUMMYFUNCTION("IMPORTRANGE(""https://docs.google.com/spreadsheets/d/1eHaY18a8A9IcSdp1K8H6x8fbOy06t2VsZHhMHf-1x7Y/edit?usp=sharing"",""แผน!V28"")"),0)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IFERROR(__xludf.DUMMYFUNCTION("IMPORTRANGE(""https://docs.google.com/spreadsheets/d/1eHaY18a8A9IcSdp1K8H6x8fbOy06t2VsZHhMHf-1x7Y/edit?usp=sharing"",""แผน!W28"")"),0)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IFERROR(__xludf.DUMMYFUNCTION("IMPORTRANGE(""https://docs.google.com/spreadsheets/d/1eHaY18a8A9IcSdp1K8H6x8fbOy06t2VsZHhMHf-1x7Y/edit?usp=sharing"",""แผน!X28"")"),0)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IFERROR(__xludf.DUMMYFUNCTION("IMPORTRANGE(""https://docs.google.com/spreadsheets/d/1eHaY18a8A9IcSdp1K8H6x8fbOy06t2VsZHhMHf-1x7Y/edit?usp=sharing"",""แผน!Y28"")"),0)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75</v>
      </c>
      <c r="J156" s="756">
        <f>J167</f>
        <v>75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126500</v>
      </c>
      <c r="M157" s="547">
        <f ca="1">M158+M159</f>
        <v>115250</v>
      </c>
      <c r="N157" s="547">
        <f ca="1">N158+N159</f>
        <v>71893.27</v>
      </c>
      <c r="O157" s="547">
        <f ca="1">IF(L157&gt;0,N157*100/L157,0)</f>
        <v>56.832624505928855</v>
      </c>
      <c r="P157" s="547">
        <f ca="1">IF(M157&gt;0,N157*100/M157,0)</f>
        <v>62.380277657266809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126500</v>
      </c>
      <c r="M159" s="224">
        <f ca="1">M162+M165</f>
        <v>115250</v>
      </c>
      <c r="N159" s="224">
        <f ca="1">N162+N165</f>
        <v>71893.27</v>
      </c>
      <c r="O159" s="224">
        <f ca="1">IF(L159&gt;0,N159*100/L159,0)</f>
        <v>56.832624505928855</v>
      </c>
      <c r="P159" s="224">
        <f ca="1">IF(M159&gt;0,N159*100/M159,0)</f>
        <v>62.380277657266809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126500</v>
      </c>
      <c r="M160" s="224">
        <f ca="1">M161+M162</f>
        <v>115250</v>
      </c>
      <c r="N160" s="224">
        <f ca="1">N161+N162</f>
        <v>71893.27</v>
      </c>
      <c r="O160" s="224">
        <f ca="1">IF(L160&gt;0,N160*100/L160,0)</f>
        <v>56.832624505928855</v>
      </c>
      <c r="P160" s="224">
        <f ca="1">IF(M160&gt;0,N160*100/M160,0)</f>
        <v>62.380277657266809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IFERROR(__xludf.DUMMYFUNCTION("IMPORTRANGE(""https://docs.google.com/spreadsheets/d/1-uDff_7J0KD5mKrp0Vvzr7lt3OU09vwQwhkpOPPYv2Y/edit?usp=sharing"",""งบพรบ!CA28"")"),126500)</f>
        <v>126500</v>
      </c>
      <c r="M162" s="224">
        <f ca="1">IFERROR(__xludf.DUMMYFUNCTION("IMPORTRANGE(""https://docs.google.com/spreadsheets/d/1-uDff_7J0KD5mKrp0Vvzr7lt3OU09vwQwhkpOPPYv2Y/edit?usp=sharing"",""งบพรบ!CF28"")"),115250)</f>
        <v>115250</v>
      </c>
      <c r="N162" s="224">
        <f ca="1">IFERROR(__xludf.DUMMYFUNCTION("IMPORTRANGE(""https://docs.google.com/spreadsheets/d/1-uDff_7J0KD5mKrp0Vvzr7lt3OU09vwQwhkpOPPYv2Y/edit?usp=sharing"",""งบพรบ!CH28"")"),71893.27)</f>
        <v>71893.27</v>
      </c>
      <c r="O162" s="224">
        <f ca="1">IF(L162&gt;0,N162*100/L162,0)</f>
        <v>56.832624505928855</v>
      </c>
      <c r="P162" s="224">
        <f ca="1">IF(M162&gt;0,N162*100/M162,0)</f>
        <v>62.380277657266809</v>
      </c>
      <c r="Q162" s="224">
        <f ca="1">IFERROR(__xludf.DUMMYFUNCTION("IMPORTRANGE(""https://docs.google.com/spreadsheets/d/1ItG2mGa2ceCfYo0BwxsXqNm01IGEUdYcSSLTEv9YCik/edit?usp=sharing"",""เบิกจ่ายกองทุน!AM28"")"),0)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IFERROR(__xludf.DUMMYFUNCTION("IMPORTRANGE(""https://docs.google.com/spreadsheets/d/1ItG2mGa2ceCfYo0BwxsXqNm01IGEUdYcSSLTEv9YCik/edit?usp=sharing"",""เบิกจ่ายกองทุน!AO28"")"),0)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IFERROR(__xludf.DUMMYFUNCTION("IMPORTRANGE(""https://docs.google.com/spreadsheets/d/1-uDff_7J0KD5mKrp0Vvzr7lt3OU09vwQwhkpOPPYv2Y/edit?usp=sharing"",""งบพรบ!CD28"")"),0)</f>
        <v>0</v>
      </c>
      <c r="M165" s="224">
        <f ca="1">IFERROR(__xludf.DUMMYFUNCTION("IMPORTRANGE(""https://docs.google.com/spreadsheets/d/1-uDff_7J0KD5mKrp0Vvzr7lt3OU09vwQwhkpOPPYv2Y/edit?usp=sharing"",""งบพรบ!CG28"")"),0)</f>
        <v>0</v>
      </c>
      <c r="N165" s="224">
        <f ca="1">IFERROR(__xludf.DUMMYFUNCTION("IMPORTRANGE(""https://docs.google.com/spreadsheets/d/1-uDff_7J0KD5mKrp0Vvzr7lt3OU09vwQwhkpOPPYv2Y/edit?usp=sharing"",""งบพรบ!CI28"")"),0)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IFERROR(__xludf.DUMMYFUNCTION("IMPORTRANGE(""https://docs.google.com/spreadsheets/d/1eHaY18a8A9IcSdp1K8H6x8fbOy06t2VsZHhMHf-1x7Y/edit?usp=sharing"",""แผน!Z28"")"),75)</f>
        <v>75</v>
      </c>
      <c r="J167" s="380">
        <v>75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75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75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244070</v>
      </c>
      <c r="N173" s="547">
        <f ca="1">N174+N175</f>
        <v>237940</v>
      </c>
      <c r="O173" s="547">
        <f ca="1">IF(L173&gt;0,N173*100/L173,0)</f>
        <v>1214.5992853496682</v>
      </c>
      <c r="P173" s="547">
        <f ca="1">IF(M173&gt;0,N173*100/M173,0)</f>
        <v>97.488425451714676</v>
      </c>
      <c r="Q173" s="547">
        <f ca="1">Q174+Q175</f>
        <v>22960</v>
      </c>
      <c r="R173" s="547">
        <f ca="1">R174+R175</f>
        <v>22960</v>
      </c>
      <c r="S173" s="547">
        <f ca="1">S174+S175</f>
        <v>17800</v>
      </c>
      <c r="T173" s="547">
        <f ca="1">IF(Q173&gt;0,S173*100/Q173,0)</f>
        <v>77.526132404181183</v>
      </c>
      <c r="U173" s="547">
        <f ca="1">IF(R173&gt;0,S173*100/R173,0)</f>
        <v>77.526132404181183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244070</v>
      </c>
      <c r="N175" s="224">
        <f ca="1">N178+N181</f>
        <v>237940</v>
      </c>
      <c r="O175" s="224">
        <f ca="1">IF(L175&gt;0,N175*100/L175,0)</f>
        <v>1214.5992853496682</v>
      </c>
      <c r="P175" s="224">
        <f ca="1">IF(M175&gt;0,N175*100/M175,0)</f>
        <v>97.488425451714676</v>
      </c>
      <c r="Q175" s="224">
        <f ca="1">Q178+Q181</f>
        <v>22960</v>
      </c>
      <c r="R175" s="224">
        <f ca="1">R178+R181</f>
        <v>22960</v>
      </c>
      <c r="S175" s="224">
        <f ca="1">S178+S181</f>
        <v>17800</v>
      </c>
      <c r="T175" s="224">
        <f ca="1">IF(Q175&gt;0,S175*100/Q175,0)</f>
        <v>77.526132404181183</v>
      </c>
      <c r="U175" s="224">
        <f ca="1">IF(R175&gt;0,S175*100/R175,0)</f>
        <v>77.526132404181183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244070</v>
      </c>
      <c r="N176" s="224">
        <f ca="1">N177+N178</f>
        <v>237940</v>
      </c>
      <c r="O176" s="224">
        <f ca="1">IF(L176&gt;0,N176*100/L176,0)</f>
        <v>1214.5992853496682</v>
      </c>
      <c r="P176" s="224">
        <f ca="1">IF(M176&gt;0,N176*100/M176,0)</f>
        <v>97.488425451714676</v>
      </c>
      <c r="Q176" s="224">
        <f ca="1">Q177+Q178</f>
        <v>22960</v>
      </c>
      <c r="R176" s="224">
        <f ca="1">R177+R178</f>
        <v>22960</v>
      </c>
      <c r="S176" s="224">
        <f ca="1">S177+S178</f>
        <v>17800</v>
      </c>
      <c r="T176" s="224">
        <f ca="1">IF(Q176&gt;0,S176*100/Q176,0)</f>
        <v>77.526132404181183</v>
      </c>
      <c r="U176" s="224">
        <f ca="1">IF(R176&gt;0,S176*100/R176,0)</f>
        <v>77.526132404181183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IFERROR(__xludf.DUMMYFUNCTION("IMPORTRANGE(""https://docs.google.com/spreadsheets/d/1-uDff_7J0KD5mKrp0Vvzr7lt3OU09vwQwhkpOPPYv2Y/edit?usp=sharing"",""งบพรบ!CK28"")"),19590)</f>
        <v>19590</v>
      </c>
      <c r="M178" s="224">
        <f ca="1">IFERROR(__xludf.DUMMYFUNCTION("IMPORTRANGE(""https://docs.google.com/spreadsheets/d/1-uDff_7J0KD5mKrp0Vvzr7lt3OU09vwQwhkpOPPYv2Y/edit?usp=sharing"",""งบพรบ!CP28"")"),244070)</f>
        <v>244070</v>
      </c>
      <c r="N178" s="224">
        <f ca="1">IFERROR(__xludf.DUMMYFUNCTION("IMPORTRANGE(""https://docs.google.com/spreadsheets/d/1-uDff_7J0KD5mKrp0Vvzr7lt3OU09vwQwhkpOPPYv2Y/edit?usp=sharing"",""งบพรบ!CR28"")"),237940)</f>
        <v>237940</v>
      </c>
      <c r="O178" s="224">
        <f ca="1">IF(L178&gt;0,N178*100/L178,0)</f>
        <v>1214.5992853496682</v>
      </c>
      <c r="P178" s="224">
        <f ca="1">IF(M178&gt;0,N178*100/M178,0)</f>
        <v>97.488425451714676</v>
      </c>
      <c r="Q178" s="224">
        <f ca="1">IFERROR(__xludf.DUMMYFUNCTION("IMPORTRANGE(""https://docs.google.com/spreadsheets/d/1ItG2mGa2ceCfYo0BwxsXqNm01IGEUdYcSSLTEv9YCik/edit?usp=sharing"",""เบิกจ่ายกองทุน!DG28"")"),22960)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IFERROR(__xludf.DUMMYFUNCTION("IMPORTRANGE(""https://docs.google.com/spreadsheets/d/1ItG2mGa2ceCfYo0BwxsXqNm01IGEUdYcSSLTEv9YCik/edit?usp=sharing"",""เบิกจ่ายกองทุน!DH28"")"),22960)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IFERROR(__xludf.DUMMYFUNCTION("IMPORTRANGE(""https://docs.google.com/spreadsheets/d/1ItG2mGa2ceCfYo0BwxsXqNm01IGEUdYcSSLTEv9YCik/edit?usp=sharing"",""เบิกจ่ายกองทุน!DI28"")"),17800)</f>
        <v>17800</v>
      </c>
      <c r="T178" s="224">
        <f ca="1">IF(Q178&gt;0,S178*100/Q178,0)</f>
        <v>77.526132404181183</v>
      </c>
      <c r="U178" s="224">
        <f ca="1">IF(R178&gt;0,S178*100/R178,0)</f>
        <v>77.526132404181183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IFERROR(__xludf.DUMMYFUNCTION("IMPORTRANGE(""https://docs.google.com/spreadsheets/d/1-uDff_7J0KD5mKrp0Vvzr7lt3OU09vwQwhkpOPPYv2Y/edit?usp=sharing"",""งบพรบ!CN28"")"),0)</f>
        <v>0</v>
      </c>
      <c r="M181" s="224">
        <f ca="1">IFERROR(__xludf.DUMMYFUNCTION("IMPORTRANGE(""https://docs.google.com/spreadsheets/d/1-uDff_7J0KD5mKrp0Vvzr7lt3OU09vwQwhkpOPPYv2Y/edit?usp=sharing"",""งบพรบ!CQ28"")"),0)</f>
        <v>0</v>
      </c>
      <c r="N181" s="224">
        <f ca="1">IFERROR(__xludf.DUMMYFUNCTION("IMPORTRANGE(""https://docs.google.com/spreadsheets/d/1-uDff_7J0KD5mKrp0Vvzr7lt3OU09vwQwhkpOPPYv2Y/edit?usp=sharing"",""งบพรบ!CS28"")"),0)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IFERROR(__xludf.DUMMYFUNCTION("IMPORTRANGE(""https://docs.google.com/spreadsheets/d/1eHaY18a8A9IcSdp1K8H6x8fbOy06t2VsZHhMHf-1x7Y/edit?usp=sharing"",""แผน!AA28"")"),17)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36500</v>
      </c>
      <c r="N186" s="547">
        <f ca="1">N187+N188</f>
        <v>13620</v>
      </c>
      <c r="O186" s="547">
        <f ca="1">IF(L186&gt;0,N186*100/L186,0)</f>
        <v>39.478260869565219</v>
      </c>
      <c r="P186" s="547">
        <f ca="1">IF(M186&gt;0,N186*100/M186,0)</f>
        <v>37.315068493150683</v>
      </c>
      <c r="Q186" s="547">
        <f ca="1">Q187+Q188</f>
        <v>56000</v>
      </c>
      <c r="R186" s="547">
        <f ca="1">R187+R188</f>
        <v>56000</v>
      </c>
      <c r="S186" s="547">
        <f ca="1">S187+S188</f>
        <v>56000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36500</v>
      </c>
      <c r="N188" s="224">
        <f ca="1">N191+N194</f>
        <v>13620</v>
      </c>
      <c r="O188" s="224">
        <f ca="1">IF(L188&gt;0,N188*100/L188,0)</f>
        <v>39.478260869565219</v>
      </c>
      <c r="P188" s="224">
        <f ca="1">IF(M188&gt;0,N188*100/M188,0)</f>
        <v>37.315068493150683</v>
      </c>
      <c r="Q188" s="224">
        <f ca="1">Q191+Q194</f>
        <v>56000</v>
      </c>
      <c r="R188" s="224">
        <f ca="1">R191+R194</f>
        <v>56000</v>
      </c>
      <c r="S188" s="224">
        <f ca="1">S191+S194</f>
        <v>56000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36500</v>
      </c>
      <c r="N189" s="224">
        <f ca="1">N190+N191</f>
        <v>13620</v>
      </c>
      <c r="O189" s="224">
        <f ca="1">IF(L189&gt;0,N189*100/L189,0)</f>
        <v>39.478260869565219</v>
      </c>
      <c r="P189" s="224">
        <f ca="1">IF(M189&gt;0,N189*100/M189,0)</f>
        <v>37.315068493150683</v>
      </c>
      <c r="Q189" s="224">
        <f ca="1">Q190+Q191</f>
        <v>56000</v>
      </c>
      <c r="R189" s="224">
        <f ca="1">R190+R191</f>
        <v>56000</v>
      </c>
      <c r="S189" s="224">
        <f ca="1">S190+S191</f>
        <v>56000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IFERROR(__xludf.DUMMYFUNCTION("IMPORTRANGE(""https://docs.google.com/spreadsheets/d/1-uDff_7J0KD5mKrp0Vvzr7lt3OU09vwQwhkpOPPYv2Y/edit?usp=sharing"",""งบพรบ!CU28"")"),34500)</f>
        <v>34500</v>
      </c>
      <c r="M191" s="224">
        <f ca="1">IFERROR(__xludf.DUMMYFUNCTION("IMPORTRANGE(""https://docs.google.com/spreadsheets/d/1-uDff_7J0KD5mKrp0Vvzr7lt3OU09vwQwhkpOPPYv2Y/edit?usp=sharing"",""งบพรบ!CZ28"")"),36500)</f>
        <v>36500</v>
      </c>
      <c r="N191" s="224">
        <f ca="1">IFERROR(__xludf.DUMMYFUNCTION("IMPORTRANGE(""https://docs.google.com/spreadsheets/d/1-uDff_7J0KD5mKrp0Vvzr7lt3OU09vwQwhkpOPPYv2Y/edit?usp=sharing"",""งบพรบ!DB28"")"),13620)</f>
        <v>13620</v>
      </c>
      <c r="O191" s="224">
        <f ca="1">IF(L191&gt;0,N191*100/L191,0)</f>
        <v>39.478260869565219</v>
      </c>
      <c r="P191" s="224">
        <f ca="1">IF(M191&gt;0,N191*100/M191,0)</f>
        <v>37.315068493150683</v>
      </c>
      <c r="Q191" s="224">
        <f ca="1">IFERROR(__xludf.DUMMYFUNCTION("IMPORTRANGE(""https://docs.google.com/spreadsheets/d/1ItG2mGa2ceCfYo0BwxsXqNm01IGEUdYcSSLTEv9YCik/edit?usp=sharing"",""เบิกจ่ายกองทุน!BQ28"")"),56000)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IFERROR(__xludf.DUMMYFUNCTION("IMPORTRANGE(""https://docs.google.com/spreadsheets/d/1ItG2mGa2ceCfYo0BwxsXqNm01IGEUdYcSSLTEv9YCik/edit?usp=sharing"",""เบิกจ่ายกองทุน!BR28"")"),56000)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IFERROR(__xludf.DUMMYFUNCTION("IMPORTRANGE(""https://docs.google.com/spreadsheets/d/1ItG2mGa2ceCfYo0BwxsXqNm01IGEUdYcSSLTEv9YCik/edit?usp=sharing"",""เบิกจ่ายกองทุน!BS28"")"),56000)</f>
        <v>56000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IFERROR(__xludf.DUMMYFUNCTION("IMPORTRANGE(""https://docs.google.com/spreadsheets/d/1-uDff_7J0KD5mKrp0Vvzr7lt3OU09vwQwhkpOPPYv2Y/edit?usp=sharing"",""งบพรบ!CX28"")"),0)</f>
        <v>0</v>
      </c>
      <c r="M194" s="224">
        <f ca="1">IFERROR(__xludf.DUMMYFUNCTION("IMPORTRANGE(""https://docs.google.com/spreadsheets/d/1-uDff_7J0KD5mKrp0Vvzr7lt3OU09vwQwhkpOPPYv2Y/edit?usp=sharing"",""งบพรบ!DA28"")"),0)</f>
        <v>0</v>
      </c>
      <c r="N194" s="224">
        <f ca="1">IFERROR(__xludf.DUMMYFUNCTION("IMPORTRANGE(""https://docs.google.com/spreadsheets/d/1-uDff_7J0KD5mKrp0Vvzr7lt3OU09vwQwhkpOPPYv2Y/edit?usp=sharing"",""งบพรบ!DC28"")"),0)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IFERROR(__xludf.DUMMYFUNCTION("IMPORTRANGE(""https://docs.google.com/spreadsheets/d/1ItG2mGa2ceCfYo0BwxsXqNm01IGEUdYcSSLTEv9YCik/edit?usp=sharing"",""เบิกจ่ายกองทุน!BT28"")"),0)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IFERROR(__xludf.DUMMYFUNCTION("IMPORTRANGE(""https://docs.google.com/spreadsheets/d/1ItG2mGa2ceCfYo0BwxsXqNm01IGEUdYcSSLTEv9YCik/edit?usp=sharing"",""เบิกจ่ายกองทุน!BU28"")"),0)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IFERROR(__xludf.DUMMYFUNCTION("IMPORTRANGE(""https://docs.google.com/spreadsheets/d/1ItG2mGa2ceCfYo0BwxsXqNm01IGEUdYcSSLTEv9YCik/edit?usp=sharing"",""เบิกจ่ายกองทุน!BV28"")"),0)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IFERROR(__xludf.DUMMYFUNCTION("IMPORTRANGE(""https://docs.google.com/spreadsheets/d/1eHaY18a8A9IcSdp1K8H6x8fbOy06t2VsZHhMHf-1x7Y/edit?usp=sharing"",""แผน!AB28"")"),6000)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IFERROR(__xludf.DUMMYFUNCTION("IMPORTRANGE(""https://docs.google.com/spreadsheets/d/1eHaY18a8A9IcSdp1K8H6x8fbOy06t2VsZHhMHf-1x7Y/edit?usp=sharing"",""แผน!AE28"")"),4)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62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62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3400</v>
      </c>
      <c r="O203" s="547">
        <f ca="1">IF(L203&gt;0,N203*100/L203,0)</f>
        <v>17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IFERROR(__xludf.DUMMYFUNCTION("IMPORTRANGE(""https://docs.google.com/spreadsheets/d/1eHaY18a8A9IcSdp1K8H6x8fbOy06t2VsZHhMHf-1x7Y/edit?usp=sharing"",""แผน!AG28"")"),4000)</f>
        <v>4000</v>
      </c>
      <c r="M204" s="45"/>
      <c r="N204" s="737">
        <v>3400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IFERROR(__xludf.DUMMYFUNCTION("IMPORTRANGE(""https://docs.google.com/spreadsheets/d/1eHaY18a8A9IcSdp1K8H6x8fbOy06t2VsZHhMHf-1x7Y/edit?usp=sharing"",""แผน!AH28"")"),0)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IFERROR(__xludf.DUMMYFUNCTION("IMPORTRANGE(""https://docs.google.com/spreadsheets/d/1eHaY18a8A9IcSdp1K8H6x8fbOy06t2VsZHhMHf-1x7Y/edit?usp=sharing"",""แผน!AI28"")"),0)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IFERROR(__xludf.DUMMYFUNCTION("IMPORTRANGE(""https://docs.google.com/spreadsheets/d/1eHaY18a8A9IcSdp1K8H6x8fbOy06t2VsZHhMHf-1x7Y/edit?usp=sharing"",""แผน!LV28"")"),56000)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IFERROR(__xludf.DUMMYFUNCTION("IMPORTRANGE(""https://docs.google.com/spreadsheets/d/1eHaY18a8A9IcSdp1K8H6x8fbOy06t2VsZHhMHf-1x7Y/edit?usp=sharing"",""แผน!AJ28"")"),16000)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IFERROR(__xludf.DUMMYFUNCTION("IMPORTRANGE(""https://docs.google.com/spreadsheets/d/1eHaY18a8A9IcSdp1K8H6x8fbOy06t2VsZHhMHf-1x7Y/edit?usp=sharing"",""แผน!AK28"")"),4)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IFERROR(__xludf.DUMMYFUNCTION("IMPORTRANGE(""https://docs.google.com/spreadsheets/d/1eHaY18a8A9IcSdp1K8H6x8fbOy06t2VsZHhMHf-1x7Y/edit?usp=sharing"",""แผน!JX28"")"),4)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IFERROR(__xludf.DUMMYFUNCTION("IMPORTRANGE(""https://docs.google.com/spreadsheets/d/1eHaY18a8A9IcSdp1K8H6x8fbOy06t2VsZHhMHf-1x7Y/edit?usp=sharing"",""แผน!JY28"")"),0)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IFERROR(__xludf.DUMMYFUNCTION("IMPORTRANGE(""https://docs.google.com/spreadsheets/d/1eHaY18a8A9IcSdp1K8H6x8fbOy06t2VsZHhMHf-1x7Y/edit?usp=sharing"",""แผน!AM28"")"),0)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IFERROR(__xludf.DUMMYFUNCTION("IMPORTRANGE(""https://docs.google.com/spreadsheets/d/1eHaY18a8A9IcSdp1K8H6x8fbOy06t2VsZHhMHf-1x7Y/edit?usp=sharing"",""แผน!AN28"")"),0)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IFERROR(__xludf.DUMMYFUNCTION("IMPORTRANGE(""https://docs.google.com/spreadsheets/d/1eHaY18a8A9IcSdp1K8H6x8fbOy06t2VsZHhMHf-1x7Y/edit?usp=sharing"",""แผน!AO28"")"),0)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IFERROR(__xludf.DUMMYFUNCTION("IMPORTRANGE(""https://docs.google.com/spreadsheets/d/1eHaY18a8A9IcSdp1K8H6x8fbOy06t2VsZHhMHf-1x7Y/edit?usp=sharing"",""แผน!LY28"")"),0)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IFERROR(__xludf.DUMMYFUNCTION("IMPORTRANGE(""https://docs.google.com/spreadsheets/d/1eHaY18a8A9IcSdp1K8H6x8fbOy06t2VsZHhMHf-1x7Y/edit?usp=sharing"",""แผน!AP28"")"),0)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IFERROR(__xludf.DUMMYFUNCTION("IMPORTRANGE(""https://docs.google.com/spreadsheets/d/1eHaY18a8A9IcSdp1K8H6x8fbOy06t2VsZHhMHf-1x7Y/edit?usp=sharing"",""แผน!AP28"")"),0)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IFERROR(__xludf.DUMMYFUNCTION("IMPORTRANGE(""https://docs.google.com/spreadsheets/d/1eHaY18a8A9IcSdp1K8H6x8fbOy06t2VsZHhMHf-1x7Y/edit?usp=sharing"",""แผน!AR28"")"),2500)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IFERROR(__xludf.DUMMYFUNCTION("IMPORTRANGE(""https://docs.google.com/spreadsheets/d/1eHaY18a8A9IcSdp1K8H6x8fbOy06t2VsZHhMHf-1x7Y/edit?usp=sharing"",""แผน!AS28"")"),6000)</f>
        <v>6000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IFERROR(__xludf.DUMMYFUNCTION("IMPORTRANGE(""https://docs.google.com/spreadsheets/d/1eHaY18a8A9IcSdp1K8H6x8fbOy06t2VsZHhMHf-1x7Y/edit?usp=sharing"",""แผน!AT28"")"),0)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IFERROR(__xludf.DUMMYFUNCTION("IMPORTRANGE(""https://docs.google.com/spreadsheets/d/1eHaY18a8A9IcSdp1K8H6x8fbOy06t2VsZHhMHf-1x7Y/edit?usp=sharing"",""แผน!AV28"")"),50000)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IFERROR(__xludf.DUMMYFUNCTION("IMPORTRANGE(""https://docs.google.com/spreadsheets/d/1eHaY18a8A9IcSdp1K8H6x8fbOy06t2VsZHhMHf-1x7Y/edit?usp=sharing"",""แผน!AV28"")"),50000)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IFERROR(__xludf.DUMMYFUNCTION("IMPORTRANGE(""https://docs.google.com/spreadsheets/d/1eHaY18a8A9IcSdp1K8H6x8fbOy06t2VsZHhMHf-1x7Y/edit?usp=sharing"",""แผน!AU28"")"),0)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46">
        <v>0</v>
      </c>
      <c r="R233" s="46">
        <v>0</v>
      </c>
      <c r="S233" s="4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46">
        <v>0</v>
      </c>
      <c r="R234" s="46">
        <v>0</v>
      </c>
      <c r="S234" s="46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46">
        <v>0</v>
      </c>
      <c r="R235" s="46">
        <v>0</v>
      </c>
      <c r="S235" s="46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46">
        <v>0</v>
      </c>
      <c r="R236" s="46">
        <v>0</v>
      </c>
      <c r="S236" s="46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IFERROR(__xludf.DUMMYFUNCTION("IMPORTRANGE(""https://docs.google.com/spreadsheets/d/1eHaY18a8A9IcSdp1K8H6x8fbOy06t2VsZHhMHf-1x7Y/edit?usp=sharing"",""แผน!AX28"")"),0)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IFERROR(__xludf.DUMMYFUNCTION("IMPORTRANGE(""https://docs.google.com/spreadsheets/d/1eHaY18a8A9IcSdp1K8H6x8fbOy06t2VsZHhMHf-1x7Y/edit?usp=sharing"",""แผน!AY28"")"),0)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IFERROR(__xludf.DUMMYFUNCTION("IMPORTRANGE(""https://docs.google.com/spreadsheets/d/1eHaY18a8A9IcSdp1K8H6x8fbOy06t2VsZHhMHf-1x7Y/edit?usp=sharing"",""แผน!AZ28"")"),0)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IFERROR(__xludf.DUMMYFUNCTION("IMPORTRANGE(""https://docs.google.com/spreadsheets/d/1eHaY18a8A9IcSdp1K8H6x8fbOy06t2VsZHhMHf-1x7Y/edit?usp=sharing"",""แผน!BA28"")"),0)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IFERROR(__xludf.DUMMYFUNCTION("IMPORTRANGE(""https://docs.google.com/spreadsheets/d/1eHaY18a8A9IcSdp1K8H6x8fbOy06t2VsZHhMHf-1x7Y/edit?usp=sharing"",""แผน!BG28"")"),0)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IFERROR(__xludf.DUMMYFUNCTION("IMPORTRANGE(""https://docs.google.com/spreadsheets/d/1eHaY18a8A9IcSdp1K8H6x8fbOy06t2VsZHhMHf-1x7Y/edit?usp=sharing"",""แผน!BB28"")"),0)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IFERROR(__xludf.DUMMYFUNCTION("IMPORTRANGE(""https://docs.google.com/spreadsheets/d/1eHaY18a8A9IcSdp1K8H6x8fbOy06t2VsZHhMHf-1x7Y/edit?usp=sharing"",""แผน!BC28"")"),0)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IFERROR(__xludf.DUMMYFUNCTION("IMPORTRANGE(""https://docs.google.com/spreadsheets/d/1eHaY18a8A9IcSdp1K8H6x8fbOy06t2VsZHhMHf-1x7Y/edit?usp=sharing"",""แผน!BD28"")"),0)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IFERROR(__xludf.DUMMYFUNCTION("IMPORTRANGE(""https://docs.google.com/spreadsheets/d/1eHaY18a8A9IcSdp1K8H6x8fbOy06t2VsZHhMHf-1x7Y/edit?usp=sharing"",""แผน!BE28"")"),0)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IFERROR(__xludf.DUMMYFUNCTION("IMPORTRANGE(""https://docs.google.com/spreadsheets/d/1eHaY18a8A9IcSdp1K8H6x8fbOy06t2VsZHhMHf-1x7Y/edit?usp=sharing"",""แผน!BH28"")"),0)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19500</v>
      </c>
      <c r="N266" s="715">
        <f ca="1">N267+N268</f>
        <v>9640</v>
      </c>
      <c r="O266" s="715">
        <f ca="1">IF(L266&gt;0,N266*100/L266,0)</f>
        <v>192.8</v>
      </c>
      <c r="P266" s="715">
        <f ca="1">IF(M266&gt;0,N266*100/M266,0)</f>
        <v>49.435897435897438</v>
      </c>
      <c r="Q266" s="715">
        <f ca="1">Q267+Q268</f>
        <v>53440</v>
      </c>
      <c r="R266" s="715">
        <f ca="1">R267+R268</f>
        <v>53440</v>
      </c>
      <c r="S266" s="715">
        <f ca="1">S267+S268</f>
        <v>56200</v>
      </c>
      <c r="T266" s="715">
        <f ca="1">IF(Q266&gt;0,S266*100/Q266,0)</f>
        <v>105.16467065868264</v>
      </c>
      <c r="U266" s="715">
        <f ca="1">IF(R266&gt;0,S266*100/R266,0)</f>
        <v>105.16467065868264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19500</v>
      </c>
      <c r="N268" s="558">
        <f ca="1">N271+N274</f>
        <v>9640</v>
      </c>
      <c r="O268" s="558">
        <f ca="1">IF(L268&gt;0,N268*100/L268,0)</f>
        <v>192.8</v>
      </c>
      <c r="P268" s="558">
        <f ca="1">IF(M268&gt;0,N268*100/M268,0)</f>
        <v>49.435897435897438</v>
      </c>
      <c r="Q268" s="558">
        <f ca="1">Q271+Q274</f>
        <v>53440</v>
      </c>
      <c r="R268" s="558">
        <f ca="1">R271+R274</f>
        <v>53440</v>
      </c>
      <c r="S268" s="558">
        <f ca="1">S271+S274</f>
        <v>56200</v>
      </c>
      <c r="T268" s="558">
        <f ca="1">IF(Q268&gt;0,S268*100/Q268,0)</f>
        <v>105.16467065868264</v>
      </c>
      <c r="U268" s="558">
        <f ca="1">IF(R268&gt;0,S268*100/R268,0)</f>
        <v>105.16467065868264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19500</v>
      </c>
      <c r="N269" s="558">
        <f ca="1">N270+N271</f>
        <v>9640</v>
      </c>
      <c r="O269" s="558">
        <f ca="1">IF(L269&gt;0,N269*100/L269,0)</f>
        <v>192.8</v>
      </c>
      <c r="P269" s="558">
        <f ca="1">IF(M269&gt;0,N269*100/M269,0)</f>
        <v>49.435897435897438</v>
      </c>
      <c r="Q269" s="558">
        <f ca="1">Q270+Q271</f>
        <v>53440</v>
      </c>
      <c r="R269" s="558">
        <f ca="1">R270+R271</f>
        <v>53440</v>
      </c>
      <c r="S269" s="558">
        <f ca="1">S270+S271</f>
        <v>56200</v>
      </c>
      <c r="T269" s="558">
        <f ca="1">IF(Q269&gt;0,S269*100/Q269,0)</f>
        <v>105.16467065868264</v>
      </c>
      <c r="U269" s="558">
        <f ca="1">IF(R269&gt;0,S269*100/R269,0)</f>
        <v>105.16467065868264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IFERROR(__xludf.DUMMYFUNCTION("IMPORTRANGE(""https://docs.google.com/spreadsheets/d/1-uDff_7J0KD5mKrp0Vvzr7lt3OU09vwQwhkpOPPYv2Y/edit?usp=sharing"",""งบพรบ!DE28"")"),5000)</f>
        <v>5000</v>
      </c>
      <c r="M271" s="558">
        <f ca="1">IFERROR(__xludf.DUMMYFUNCTION("IMPORTRANGE(""https://docs.google.com/spreadsheets/d/1-uDff_7J0KD5mKrp0Vvzr7lt3OU09vwQwhkpOPPYv2Y/edit?usp=sharing"",""งบพรบ!DJ28"")"),19500)</f>
        <v>19500</v>
      </c>
      <c r="N271" s="558">
        <f ca="1">IFERROR(__xludf.DUMMYFUNCTION("IMPORTRANGE(""https://docs.google.com/spreadsheets/d/1-uDff_7J0KD5mKrp0Vvzr7lt3OU09vwQwhkpOPPYv2Y/edit?usp=sharing"",""งบพรบ!DL28"")"),9640)</f>
        <v>9640</v>
      </c>
      <c r="O271" s="558">
        <f ca="1">IF(L271&gt;0,N271*100/L271,0)</f>
        <v>192.8</v>
      </c>
      <c r="P271" s="558">
        <f ca="1">IF(M271&gt;0,N271*100/M271,0)</f>
        <v>49.435897435897438</v>
      </c>
      <c r="Q271" s="558">
        <f ca="1">IFERROR(__xludf.DUMMYFUNCTION("IMPORTRANGE(""https://docs.google.com/spreadsheets/d/1ItG2mGa2ceCfYo0BwxsXqNm01IGEUdYcSSLTEv9YCik/edit?usp=sharing"",""เบิกจ่ายกองทุน!AP28"")"),53440)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IFERROR(__xludf.DUMMYFUNCTION("IMPORTRANGE(""https://docs.google.com/spreadsheets/d/1ItG2mGa2ceCfYo0BwxsXqNm01IGEUdYcSSLTEv9YCik/edit?usp=sharing"",""เบิกจ่ายกองทุน!AQ28"")"),53440)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IFERROR(__xludf.DUMMYFUNCTION("IMPORTRANGE(""https://docs.google.com/spreadsheets/d/1ItG2mGa2ceCfYo0BwxsXqNm01IGEUdYcSSLTEv9YCik/edit?usp=sharing"",""เบิกจ่ายกองทุน!AR28"")"),56200)</f>
        <v>56200</v>
      </c>
      <c r="T271" s="558">
        <f ca="1">IF(Q271&gt;0,S271*100/Q271,0)</f>
        <v>105.16467065868264</v>
      </c>
      <c r="U271" s="558">
        <f ca="1">IF(R271&gt;0,S271*100/R271,0)</f>
        <v>105.16467065868264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IFERROR(__xludf.DUMMYFUNCTION("IMPORTRANGE(""https://docs.google.com/spreadsheets/d/1-uDff_7J0KD5mKrp0Vvzr7lt3OU09vwQwhkpOPPYv2Y/edit?usp=sharing"",""งบพรบ!DH28"")"),0)</f>
        <v>0</v>
      </c>
      <c r="M274" s="558">
        <f ca="1">IFERROR(__xludf.DUMMYFUNCTION("IMPORTRANGE(""https://docs.google.com/spreadsheets/d/1-uDff_7J0KD5mKrp0Vvzr7lt3OU09vwQwhkpOPPYv2Y/edit?usp=sharing"",""งบพรบ!DK28"")"),0)</f>
        <v>0</v>
      </c>
      <c r="N274" s="558">
        <f ca="1">IFERROR(__xludf.DUMMYFUNCTION("IMPORTRANGE(""https://docs.google.com/spreadsheets/d/1-uDff_7J0KD5mKrp0Vvzr7lt3OU09vwQwhkpOPPYv2Y/edit?usp=sharing"",""งบพรบ!DM28"")"),0)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IFERROR(__xludf.DUMMYFUNCTION("IMPORTRANGE(""https://docs.google.com/spreadsheets/d/1eHaY18a8A9IcSdp1K8H6x8fbOy06t2VsZHhMHf-1x7Y/edit?usp=sharing"",""แผน!EC28"")"),24)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201520</v>
      </c>
      <c r="M282" s="547">
        <f ca="1">M283+M284</f>
        <v>211430</v>
      </c>
      <c r="N282" s="547">
        <f ca="1">N283+N284</f>
        <v>171349</v>
      </c>
      <c r="O282" s="547">
        <f ca="1">IF(L282&gt;0,N282*100/L282,0)</f>
        <v>85.028285033743543</v>
      </c>
      <c r="P282" s="547">
        <f ca="1">IF(M282&gt;0,N282*100/M282,0)</f>
        <v>81.042898358794872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201520</v>
      </c>
      <c r="M284" s="224">
        <f ca="1">M287+M290</f>
        <v>211430</v>
      </c>
      <c r="N284" s="224">
        <f ca="1">N287+N290</f>
        <v>171349</v>
      </c>
      <c r="O284" s="224">
        <f ca="1">IF(L284&gt;0,N284*100/L284,0)</f>
        <v>85.028285033743543</v>
      </c>
      <c r="P284" s="224">
        <f ca="1">IF(M284&gt;0,N284*100/M284,0)</f>
        <v>81.042898358794872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201520</v>
      </c>
      <c r="M285" s="224">
        <f ca="1">M286+M287</f>
        <v>211430</v>
      </c>
      <c r="N285" s="224">
        <f ca="1">N286+N287</f>
        <v>171349</v>
      </c>
      <c r="O285" s="224">
        <f ca="1">IF(L285&gt;0,N285*100/L285,0)</f>
        <v>85.028285033743543</v>
      </c>
      <c r="P285" s="224">
        <f ca="1">IF(M285&gt;0,N285*100/M285,0)</f>
        <v>81.042898358794872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IFERROR(__xludf.DUMMYFUNCTION("IMPORTRANGE(""https://docs.google.com/spreadsheets/d/1-uDff_7J0KD5mKrp0Vvzr7lt3OU09vwQwhkpOPPYv2Y/edit?usp=sharing"",""งบพรบ!DO28"")"),201520)</f>
        <v>201520</v>
      </c>
      <c r="M287" s="224">
        <f ca="1">IFERROR(__xludf.DUMMYFUNCTION("IMPORTRANGE(""https://docs.google.com/spreadsheets/d/1-uDff_7J0KD5mKrp0Vvzr7lt3OU09vwQwhkpOPPYv2Y/edit?usp=sharing"",""งบพรบ!DT28"")"),211430)</f>
        <v>211430</v>
      </c>
      <c r="N287" s="224">
        <f ca="1">IFERROR(__xludf.DUMMYFUNCTION("IMPORTRANGE(""https://docs.google.com/spreadsheets/d/1-uDff_7J0KD5mKrp0Vvzr7lt3OU09vwQwhkpOPPYv2Y/edit?usp=sharing"",""งบพรบ!DV28"")"),171349)</f>
        <v>171349</v>
      </c>
      <c r="O287" s="224">
        <f ca="1">IF(L287&gt;0,N287*100/L287,0)</f>
        <v>85.028285033743543</v>
      </c>
      <c r="P287" s="224">
        <f ca="1">IF(M287&gt;0,N287*100/M287,0)</f>
        <v>81.042898358794872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IFERROR(__xludf.DUMMYFUNCTION("IMPORTRANGE(""https://docs.google.com/spreadsheets/d/1-uDff_7J0KD5mKrp0Vvzr7lt3OU09vwQwhkpOPPYv2Y/edit?usp=sharing"",""งบพรบ!DR28"")"),0)</f>
        <v>0</v>
      </c>
      <c r="M290" s="224">
        <f ca="1">IFERROR(__xludf.DUMMYFUNCTION("IMPORTRANGE(""https://docs.google.com/spreadsheets/d/1-uDff_7J0KD5mKrp0Vvzr7lt3OU09vwQwhkpOPPYv2Y/edit?usp=sharing"",""งบพรบ!DU28"")"),0)</f>
        <v>0</v>
      </c>
      <c r="N290" s="224">
        <f ca="1">IFERROR(__xludf.DUMMYFUNCTION("IMPORTRANGE(""https://docs.google.com/spreadsheets/d/1-uDff_7J0KD5mKrp0Vvzr7lt3OU09vwQwhkpOPPYv2Y/edit?usp=sharing"",""งบพรบ!DW28"")"),0)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IFERROR(__xludf.DUMMYFUNCTION("IMPORTRANGE(""https://docs.google.com/spreadsheets/d/1eHaY18a8A9IcSdp1K8H6x8fbOy06t2VsZHhMHf-1x7Y/edit?usp=sharing"",""แผน!EE28"")"),200)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IFERROR(__xludf.DUMMYFUNCTION("IMPORTRANGE(""https://docs.google.com/spreadsheets/d/1eHaY18a8A9IcSdp1K8H6x8fbOy06t2VsZHhMHf-1x7Y/edit?usp=sharing"",""แผน!ED28"")"),20)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IFERROR(__xludf.DUMMYFUNCTION("IMPORTRANGE(""https://docs.google.com/spreadsheets/d/1eHaY18a8A9IcSdp1K8H6x8fbOy06t2VsZHhMHf-1x7Y/edit?usp=sharing"",""แผน!ED28"")"),20)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IFERROR(__xludf.DUMMYFUNCTION("IMPORTRANGE(""https://docs.google.com/spreadsheets/d/1eHaY18a8A9IcSdp1K8H6x8fbOy06t2VsZHhMHf-1x7Y/edit?usp=sharing"",""แผน!ED28"")"),20)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IFERROR(__xludf.DUMMYFUNCTION("IMPORTRANGE(""https://docs.google.com/spreadsheets/d/1eHaY18a8A9IcSdp1K8H6x8fbOy06t2VsZHhMHf-1x7Y/edit?usp=sharing"",""แผน!ED28"")"),20)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IFERROR(__xludf.DUMMYFUNCTION("IMPORTRANGE(""https://docs.google.com/spreadsheets/d/1eHaY18a8A9IcSdp1K8H6x8fbOy06t2VsZHhMHf-1x7Y/edit?usp=sharing"",""แผน!ED28"")"),20)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50</v>
      </c>
      <c r="J302" s="632">
        <f>J314</f>
        <v>50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374853.15</v>
      </c>
      <c r="R303" s="547">
        <f ca="1">R304+R305</f>
        <v>379053</v>
      </c>
      <c r="S303" s="547">
        <f ca="1">S304+S305</f>
        <v>137733</v>
      </c>
      <c r="T303" s="547">
        <f ca="1">IF(Q303&gt;0,S303*100/Q303,0)</f>
        <v>36.743188632668549</v>
      </c>
      <c r="U303" s="547">
        <f ca="1">IF(R303&gt;0,S303*100/R303,0)</f>
        <v>36.336079651130582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374853.15</v>
      </c>
      <c r="R305" s="224">
        <f ca="1">R308+R311</f>
        <v>379053</v>
      </c>
      <c r="S305" s="224">
        <f ca="1">S308+S311</f>
        <v>137733</v>
      </c>
      <c r="T305" s="224">
        <f ca="1">IF(Q305&gt;0,S305*100/Q305,0)</f>
        <v>36.743188632668549</v>
      </c>
      <c r="U305" s="224">
        <f ca="1">IF(R305&gt;0,S305*100/R305,0)</f>
        <v>36.336079651130582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374853.15</v>
      </c>
      <c r="R306" s="224">
        <f ca="1">R307+R308</f>
        <v>379053</v>
      </c>
      <c r="S306" s="224">
        <f ca="1">S307+S308</f>
        <v>137733</v>
      </c>
      <c r="T306" s="224">
        <f ca="1">IF(Q306&gt;0,S306*100/Q306,0)</f>
        <v>36.743188632668549</v>
      </c>
      <c r="U306" s="224">
        <f ca="1">IF(R306&gt;0,S306*100/R306,0)</f>
        <v>36.336079651130582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IFERROR(__xludf.DUMMYFUNCTION("IMPORTRANGE(""https://docs.google.com/spreadsheets/d/1-uDff_7J0KD5mKrp0Vvzr7lt3OU09vwQwhkpOPPYv2Y/edit?usp=sharing"",""งบพรบ!DY28"")"),0)</f>
        <v>0</v>
      </c>
      <c r="M308" s="224">
        <f ca="1">IFERROR(__xludf.DUMMYFUNCTION("IMPORTRANGE(""https://docs.google.com/spreadsheets/d/1-uDff_7J0KD5mKrp0Vvzr7lt3OU09vwQwhkpOPPYv2Y/edit?usp=sharing"",""งบพรบ!ED28"")"),0)</f>
        <v>0</v>
      </c>
      <c r="N308" s="224">
        <f ca="1">IFERROR(__xludf.DUMMYFUNCTION("IMPORTRANGE(""https://docs.google.com/spreadsheets/d/1-uDff_7J0KD5mKrp0Vvzr7lt3OU09vwQwhkpOPPYv2Y/edit?usp=sharing"",""งบพรบ!EF28"")"),0)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IFERROR(__xludf.DUMMYFUNCTION("IMPORTRANGE(""https://docs.google.com/spreadsheets/d/1ItG2mGa2ceCfYo0BwxsXqNm01IGEUdYcSSLTEv9YCik/edit?usp=sharing"",""เบิกจ่ายกองทุน!BB28"")"),374853.15)</f>
        <v>374853.15</v>
      </c>
      <c r="R308" s="224">
        <f ca="1">IFERROR(__xludf.DUMMYFUNCTION("IMPORTRANGE(""https://docs.google.com/spreadsheets/d/1ItG2mGa2ceCfYo0BwxsXqNm01IGEUdYcSSLTEv9YCik/edit?usp=sharing"",""เบิกจ่ายกองทุน!BC28"")"),379053)</f>
        <v>379053</v>
      </c>
      <c r="S308" s="224">
        <f ca="1">IFERROR(__xludf.DUMMYFUNCTION("IMPORTRANGE(""https://docs.google.com/spreadsheets/d/1ItG2mGa2ceCfYo0BwxsXqNm01IGEUdYcSSLTEv9YCik/edit?usp=sharing"",""เบิกจ่ายกองทุน!BD28"")"),137733)</f>
        <v>137733</v>
      </c>
      <c r="T308" s="224">
        <f ca="1">IF(Q308&gt;0,S308*100/Q308,0)</f>
        <v>36.743188632668549</v>
      </c>
      <c r="U308" s="224">
        <f ca="1">IF(R308&gt;0,S308*100/R308,0)</f>
        <v>36.336079651130582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IFERROR(__xludf.DUMMYFUNCTION("IMPORTRANGE(""https://docs.google.com/spreadsheets/d/1-uDff_7J0KD5mKrp0Vvzr7lt3OU09vwQwhkpOPPYv2Y/edit?usp=sharing"",""งบพรบ!EB28"")"),0)</f>
        <v>0</v>
      </c>
      <c r="M311" s="224">
        <f ca="1">IFERROR(__xludf.DUMMYFUNCTION("IMPORTRANGE(""https://docs.google.com/spreadsheets/d/1-uDff_7J0KD5mKrp0Vvzr7lt3OU09vwQwhkpOPPYv2Y/edit?usp=sharing"",""งบพรบ!EE28"")"),0)</f>
        <v>0</v>
      </c>
      <c r="N311" s="224">
        <f ca="1">IFERROR(__xludf.DUMMYFUNCTION("IMPORTRANGE(""https://docs.google.com/spreadsheets/d/1-uDff_7J0KD5mKrp0Vvzr7lt3OU09vwQwhkpOPPYv2Y/edit?usp=sharing"",""งบพรบ!EG28"")"),0)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IFERROR(__xludf.DUMMYFUNCTION("IMPORTRANGE(""https://docs.google.com/spreadsheets/d/1eHaY18a8A9IcSdp1K8H6x8fbOy06t2VsZHhMHf-1x7Y/edit?usp=sharing"",""แผน!EF28"")"),50)</f>
        <v>50</v>
      </c>
      <c r="J314" s="380">
        <v>50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IFERROR(__xludf.DUMMYFUNCTION("IMPORTRANGE(""https://docs.google.com/spreadsheets/d/1-uDff_7J0KD5mKrp0Vvzr7lt3OU09vwQwhkpOPPYv2Y/edit?usp=sharing"",""งบพรบ!EI28"")"),0)</f>
        <v>0</v>
      </c>
      <c r="M325" s="224">
        <f ca="1">IFERROR(__xludf.DUMMYFUNCTION("IMPORTRANGE(""https://docs.google.com/spreadsheets/d/1-uDff_7J0KD5mKrp0Vvzr7lt3OU09vwQwhkpOPPYv2Y/edit?usp=sharing"",""งบพรบ!EN28"")"),0)</f>
        <v>0</v>
      </c>
      <c r="N325" s="224">
        <f ca="1">IFERROR(__xludf.DUMMYFUNCTION("IMPORTRANGE(""https://docs.google.com/spreadsheets/d/1-uDff_7J0KD5mKrp0Vvzr7lt3OU09vwQwhkpOPPYv2Y/edit?usp=sharing"",""งบพรบ!EP28"")"),0)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IFERROR(__xludf.DUMMYFUNCTION("IMPORTRANGE(""https://docs.google.com/spreadsheets/d/1-uDff_7J0KD5mKrp0Vvzr7lt3OU09vwQwhkpOPPYv2Y/edit?usp=sharing"",""งบพรบ!EL28"")"),0)</f>
        <v>0</v>
      </c>
      <c r="M328" s="224">
        <f ca="1">IFERROR(__xludf.DUMMYFUNCTION("IMPORTRANGE(""https://docs.google.com/spreadsheets/d/1-uDff_7J0KD5mKrp0Vvzr7lt3OU09vwQwhkpOPPYv2Y/edit?usp=sharing"",""งบพรบ!EO28"")"),0)</f>
        <v>0</v>
      </c>
      <c r="N328" s="224">
        <f ca="1">IFERROR(__xludf.DUMMYFUNCTION("IMPORTRANGE(""https://docs.google.com/spreadsheets/d/1-uDff_7J0KD5mKrp0Vvzr7lt3OU09vwQwhkpOPPYv2Y/edit?usp=sharing"",""งบพรบ!EQ28"")"),0)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IFERROR(__xludf.DUMMYFUNCTION("IMPORTRANGE(""https://docs.google.com/spreadsheets/d/1eHaY18a8A9IcSdp1K8H6x8fbOy06t2VsZHhMHf-1x7Y/edit?usp=sharing"",""แผน!EJ28"")"),0)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IFERROR(__xludf.DUMMYFUNCTION("IMPORTRANGE(""https://docs.google.com/spreadsheets/d/1eHaY18a8A9IcSdp1K8H6x8fbOy06t2VsZHhMHf-1x7Y/edit?usp=sharing"",""แผน!EK28"")"),5600)</f>
        <v>5600</v>
      </c>
      <c r="J332" s="300">
        <f ca="1">J344+J347+J348+J349+J353+J354</f>
        <v>8454</v>
      </c>
      <c r="K332" s="679">
        <f ca="1">IF(I332&gt;0,J332*100/I332,0)</f>
        <v>150.96428571428572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153060.51</v>
      </c>
      <c r="O333" s="547">
        <f ca="1">IF(L333&gt;0,N333*100/L333,0)</f>
        <v>77.695690355329944</v>
      </c>
      <c r="P333" s="547">
        <f ca="1">IF(M333&gt;0,N333*100/M333,0)</f>
        <v>77.695690355329944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153060.51</v>
      </c>
      <c r="O335" s="224">
        <f ca="1">IF(L335&gt;0,N335*100/L335,0)</f>
        <v>77.695690355329944</v>
      </c>
      <c r="P335" s="224">
        <f ca="1">IF(M335&gt;0,N335*100/M335,0)</f>
        <v>77.695690355329944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153060.51</v>
      </c>
      <c r="O336" s="224">
        <f ca="1">IF(L336&gt;0,N336*100/L336,0)</f>
        <v>77.695690355329944</v>
      </c>
      <c r="P336" s="224">
        <f ca="1">IF(M336&gt;0,N336*100/M336,0)</f>
        <v>77.695690355329944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IFERROR(__xludf.DUMMYFUNCTION("IMPORTRANGE(""https://docs.google.com/spreadsheets/d/1-uDff_7J0KD5mKrp0Vvzr7lt3OU09vwQwhkpOPPYv2Y/edit?usp=sharing"",""งบพรบ!ES28"")"),197000)</f>
        <v>197000</v>
      </c>
      <c r="M338" s="224">
        <f ca="1">IFERROR(__xludf.DUMMYFUNCTION("IMPORTRANGE(""https://docs.google.com/spreadsheets/d/1-uDff_7J0KD5mKrp0Vvzr7lt3OU09vwQwhkpOPPYv2Y/edit?usp=sharing"",""งบพรบ!EX28"")"),197000)</f>
        <v>197000</v>
      </c>
      <c r="N338" s="224">
        <f ca="1">IFERROR(__xludf.DUMMYFUNCTION("IMPORTRANGE(""https://docs.google.com/spreadsheets/d/1-uDff_7J0KD5mKrp0Vvzr7lt3OU09vwQwhkpOPPYv2Y/edit?usp=sharing"",""งบพรบ!EZ28"")"),153060.51)</f>
        <v>153060.51</v>
      </c>
      <c r="O338" s="224">
        <f ca="1">IF(L338&gt;0,N338*100/L338,0)</f>
        <v>77.695690355329944</v>
      </c>
      <c r="P338" s="224">
        <f ca="1">IF(M338&gt;0,N338*100/M338,0)</f>
        <v>77.695690355329944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IFERROR(__xludf.DUMMYFUNCTION("IMPORTRANGE(""https://docs.google.com/spreadsheets/d/1-uDff_7J0KD5mKrp0Vvzr7lt3OU09vwQwhkpOPPYv2Y/edit?usp=sharing"",""งบพรบ!EV28"")"),0)</f>
        <v>0</v>
      </c>
      <c r="M341" s="224">
        <f ca="1">IFERROR(__xludf.DUMMYFUNCTION("IMPORTRANGE(""https://docs.google.com/spreadsheets/d/1-uDff_7J0KD5mKrp0Vvzr7lt3OU09vwQwhkpOPPYv2Y/edit?usp=sharing"",""งบพรบ!EY28"")"),0)</f>
        <v>0</v>
      </c>
      <c r="N341" s="224">
        <f ca="1">IFERROR(__xludf.DUMMYFUNCTION("IMPORTRANGE(""https://docs.google.com/spreadsheets/d/1-uDff_7J0KD5mKrp0Vvzr7lt3OU09vwQwhkpOPPYv2Y/edit?usp=sharing"",""งบพรบ!FA28"")"),0)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1445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IFERROR(__xludf.DUMMYFUNCTION("IMPORTRANGE(""https://docs.google.com/spreadsheets/d/1awYsYK3VOup2i3Pq_Yjnu8DRu_mYwSBnCR2QPthd0rU/edit?usp=sharing"",""ศูนย์ยกเว้นโฉนด!D28"")"),1271)</f>
        <v>1271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IFERROR(__xludf.DUMMYFUNCTION("IMPORTRANGE(""https://docs.google.com/spreadsheets/d/1eHaY18a8A9IcSdp1K8H6x8fbOy06t2VsZHhMHf-1x7Y/edit?usp=sharing"",""แผน!EL28"")"),7)</f>
        <v>7</v>
      </c>
      <c r="J346" s="184">
        <f ca="1">IFERROR(__xludf.DUMMYFUNCTION("IMPORTRANGE(""https://docs.google.com/spreadsheets/d/1awYsYK3VOup2i3Pq_Yjnu8DRu_mYwSBnCR2QPthd0rU/edit?usp=sharing"",""ศูนย์รวม!E28"")"),11)</f>
        <v>11</v>
      </c>
      <c r="K346" s="224">
        <f ca="1">IF(I346&gt;0,J346*100/I346,0)</f>
        <v>157.14285714285714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IFERROR(__xludf.DUMMYFUNCTION("IMPORTRANGE(""https://docs.google.com/spreadsheets/d/1awYsYK3VOup2i3Pq_Yjnu8DRu_mYwSBnCR2QPthd0rU/edit?usp=sharing"",""ศูนย์ยกเว้นโฉนด!F28"")"),169)</f>
        <v>169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IFERROR(__xludf.DUMMYFUNCTION("IMPORTRANGE(""https://docs.google.com/spreadsheets/d/1awYsYK3VOup2i3Pq_Yjnu8DRu_mYwSBnCR2QPthd0rU/edit?usp=sharing"",""ศูนย์ยกเว้นโฉนด!G28"")"),5)</f>
        <v>5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IFERROR(__xludf.DUMMYFUNCTION("IMPORTRANGE(""https://docs.google.com/spreadsheets/d/1awYsYK3VOup2i3Pq_Yjnu8DRu_mYwSBnCR2QPthd0rU/edit?usp=sharing"",""ศูนย์ยกเว้นโฉนด!H28"")"),0)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7009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IFERROR(__xludf.DUMMYFUNCTION("IMPORTRANGE(""https://docs.google.com/spreadsheets/d/1awYsYK3VOup2i3Pq_Yjnu8DRu_mYwSBnCR2QPthd0rU/edit?usp=sharing"",""โฉนดM3!G28"")"),4656)</f>
        <v>4656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IFERROR(__xludf.DUMMYFUNCTION("IMPORTRANGE(""https://docs.google.com/spreadsheets/d/1awYsYK3VOup2i3Pq_Yjnu8DRu_mYwSBnCR2QPthd0rU/edit?usp=sharing"",""โฉนดM3!H28"")"),5913)</f>
        <v>5913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IFERROR(__xludf.DUMMYFUNCTION("IMPORTRANGE(""https://docs.google.com/spreadsheets/d/1awYsYK3VOup2i3Pq_Yjnu8DRu_mYwSBnCR2QPthd0rU/edit?usp=sharing"",""โฉนดM3!I28"")"),1096)</f>
        <v>1096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766350</v>
      </c>
      <c r="M356" s="547">
        <f ca="1">M357+M358</f>
        <v>917460</v>
      </c>
      <c r="N356" s="547">
        <f ca="1">N357+N358</f>
        <v>778602.69</v>
      </c>
      <c r="O356" s="547">
        <f ca="1">IF(L356&gt;0,N356*100/L356,0)</f>
        <v>101.59883734586025</v>
      </c>
      <c r="P356" s="547">
        <f ca="1">IF(M356&gt;0,N356*100/M356,0)</f>
        <v>84.865028448106727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766350</v>
      </c>
      <c r="M358" s="224">
        <f ca="1">M361+M364</f>
        <v>917460</v>
      </c>
      <c r="N358" s="224">
        <f ca="1">N361+N364</f>
        <v>778602.69</v>
      </c>
      <c r="O358" s="224">
        <f ca="1">IF(L358&gt;0,N358*100/L358,0)</f>
        <v>101.59883734586025</v>
      </c>
      <c r="P358" s="224">
        <f ca="1">IF(M358&gt;0,N358*100/M358,0)</f>
        <v>84.865028448106727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766350</v>
      </c>
      <c r="M359" s="224">
        <f ca="1">M360+M361</f>
        <v>917460</v>
      </c>
      <c r="N359" s="224">
        <f ca="1">N360+N361</f>
        <v>778602.69</v>
      </c>
      <c r="O359" s="224">
        <f ca="1">IF(L359&gt;0,N359*100/L359,0)</f>
        <v>101.59883734586025</v>
      </c>
      <c r="P359" s="224">
        <f ca="1">IF(M359&gt;0,N359*100/M359,0)</f>
        <v>84.865028448106727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IFERROR(__xludf.DUMMYFUNCTION("IMPORTRANGE(""https://docs.google.com/spreadsheets/d/1-uDff_7J0KD5mKrp0Vvzr7lt3OU09vwQwhkpOPPYv2Y/edit?usp=sharing"",""งบพรบ!FC28"")"),766350)</f>
        <v>766350</v>
      </c>
      <c r="M361" s="224">
        <f ca="1">IFERROR(__xludf.DUMMYFUNCTION("IMPORTRANGE(""https://docs.google.com/spreadsheets/d/1-uDff_7J0KD5mKrp0Vvzr7lt3OU09vwQwhkpOPPYv2Y/edit?usp=sharing"",""งบพรบ!FH28"")"),917460)</f>
        <v>917460</v>
      </c>
      <c r="N361" s="224">
        <f ca="1">IFERROR(__xludf.DUMMYFUNCTION("IMPORTRANGE(""https://docs.google.com/spreadsheets/d/1-uDff_7J0KD5mKrp0Vvzr7lt3OU09vwQwhkpOPPYv2Y/edit?usp=sharing"",""งบพรบ!FJ28"")"),778602.69)</f>
        <v>778602.69</v>
      </c>
      <c r="O361" s="224">
        <f ca="1">IF(L361&gt;0,N361*100/L361,0)</f>
        <v>101.59883734586025</v>
      </c>
      <c r="P361" s="224">
        <f ca="1">IF(M361&gt;0,N361*100/M361,0)</f>
        <v>84.865028448106727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IFERROR(__xludf.DUMMYFUNCTION("IMPORTRANGE(""https://docs.google.com/spreadsheets/d/1-uDff_7J0KD5mKrp0Vvzr7lt3OU09vwQwhkpOPPYv2Y/edit?usp=sharing"",""งบพรบ!FF28"")"),0)</f>
        <v>0</v>
      </c>
      <c r="M364" s="224">
        <f ca="1">IFERROR(__xludf.DUMMYFUNCTION("IMPORTRANGE(""https://docs.google.com/spreadsheets/d/1-uDff_7J0KD5mKrp0Vvzr7lt3OU09vwQwhkpOPPYv2Y/edit?usp=sharing"",""งบพรบ!FI28"")"),0)</f>
        <v>0</v>
      </c>
      <c r="N364" s="224">
        <f ca="1">IFERROR(__xludf.DUMMYFUNCTION("IMPORTRANGE(""https://docs.google.com/spreadsheets/d/1-uDff_7J0KD5mKrp0Vvzr7lt3OU09vwQwhkpOPPYv2Y/edit?usp=sharing"",""งบพรบ!FK28"")"),0)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346</v>
      </c>
      <c r="J365" s="302">
        <f ca="1">J371</f>
        <v>594</v>
      </c>
      <c r="K365" s="303">
        <f ca="1">IF(I365&gt;0,J365*100/I365,0)</f>
        <v>171.67630057803467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IFERROR(__xludf.DUMMYFUNCTION("IMPORTRANGE(""https://docs.google.com/spreadsheets/d/1tdoBKaGub7dwA3U6UFTqxio9LNnvDCQjHKmttSEBsFQ/edit?usp=sharing"",""จัดที่ดิน!AB28"")"),209)</f>
        <v>209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IFERROR(__xludf.DUMMYFUNCTION("IMPORTRANGE(""https://docs.google.com/spreadsheets/d/1eHaY18a8A9IcSdp1K8H6x8fbOy06t2VsZHhMHf-1x7Y/edit?usp=sharing"",""แผน!EW28"")"),1040)</f>
        <v>1040</v>
      </c>
      <c r="J368" s="668">
        <f ca="1">IFERROR(__xludf.DUMMYFUNCTION("IMPORTRANGE(""https://docs.google.com/spreadsheets/d/1tdoBKaGub7dwA3U6UFTqxio9LNnvDCQjHKmttSEBsFQ/edit?usp=sharing"",""จัดที่ดิน!AC28"")"),1805.78)</f>
        <v>1805.78</v>
      </c>
      <c r="K368" s="224">
        <f ca="1">IF(I368&gt;0,J368*100/I368,0)</f>
        <v>173.63269230769231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IFERROR(__xludf.DUMMYFUNCTION("IMPORTRANGE(""https://docs.google.com/spreadsheets/d/1eHaY18a8A9IcSdp1K8H6x8fbOy06t2VsZHhMHf-1x7Y/edit?usp=sharing"",""แผน!EX28"")"),346)</f>
        <v>346</v>
      </c>
      <c r="J369" s="184">
        <f ca="1">IFERROR(__xludf.DUMMYFUNCTION("IMPORTRANGE(""https://docs.google.com/spreadsheets/d/1tdoBKaGub7dwA3U6UFTqxio9LNnvDCQjHKmttSEBsFQ/edit?usp=sharing"",""จัดที่ดิน!AD28"")"),744)</f>
        <v>744</v>
      </c>
      <c r="K369" s="224">
        <f ca="1">IF(I369&gt;0,J369*100/I369,0)</f>
        <v>215.02890173410404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IFERROR(__xludf.DUMMYFUNCTION("IMPORTRANGE(""https://docs.google.com/spreadsheets/d/1tdoBKaGub7dwA3U6UFTqxio9LNnvDCQjHKmttSEBsFQ/edit?usp=sharing"",""จัดที่ดิน!AE28"")"),8648.39)</f>
        <v>8648.39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IFERROR(__xludf.DUMMYFUNCTION("IMPORTRANGE(""https://docs.google.com/spreadsheets/d/1eHaY18a8A9IcSdp1K8H6x8fbOy06t2VsZHhMHf-1x7Y/edit?usp=sharing"",""แผน!EY28"")"),346)</f>
        <v>346</v>
      </c>
      <c r="J371" s="184">
        <f ca="1">IFERROR(__xludf.DUMMYFUNCTION("IMPORTRANGE(""https://docs.google.com/spreadsheets/d/1tdoBKaGub7dwA3U6UFTqxio9LNnvDCQjHKmttSEBsFQ/edit?usp=sharing"",""จัดที่ดิน!AF28"")"),594)</f>
        <v>594</v>
      </c>
      <c r="K371" s="224">
        <f ca="1">IF(I371&gt;0,J371*100/I371,0)</f>
        <v>171.67630057803467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IFERROR(__xludf.DUMMYFUNCTION("IMPORTRANGE(""https://docs.google.com/spreadsheets/d/1tdoBKaGub7dwA3U6UFTqxio9LNnvDCQjHKmttSEBsFQ/edit?usp=sharing"",""จัดที่ดิน!AG28"")"),7550.67)</f>
        <v>7550.67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701</v>
      </c>
      <c r="K374" s="659">
        <f ca="1">IF(I374&gt;0,J374*100/I374,0)</f>
        <v>35.049999999999997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50780</v>
      </c>
      <c r="T375" s="547">
        <f ca="1">IF(Q375&gt;0,S375*100/Q375,0)</f>
        <v>40.624000000000002</v>
      </c>
      <c r="U375" s="547">
        <f ca="1">IF(R375&gt;0,S375*100/R375,0)</f>
        <v>40.624000000000002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50780</v>
      </c>
      <c r="T377" s="224">
        <f ca="1">IF(Q377&gt;0,S377*100/Q377,0)</f>
        <v>40.624000000000002</v>
      </c>
      <c r="U377" s="224">
        <f ca="1">IF(R377&gt;0,S377*100/R377,0)</f>
        <v>40.624000000000002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50780</v>
      </c>
      <c r="T378" s="224">
        <f ca="1">IF(Q378&gt;0,S378*100/Q378,0)</f>
        <v>40.624000000000002</v>
      </c>
      <c r="U378" s="224">
        <f ca="1">IF(R378&gt;0,S378*100/R378,0)</f>
        <v>40.624000000000002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IFERROR(__xludf.DUMMYFUNCTION("IMPORTRANGE(""https://docs.google.com/spreadsheets/d/1-uDff_7J0KD5mKrp0Vvzr7lt3OU09vwQwhkpOPPYv2Y/edit?usp=sharing"",""งบพรบ!IE28"")"),0)</f>
        <v>0</v>
      </c>
      <c r="M380" s="224">
        <f ca="1">IFERROR(__xludf.DUMMYFUNCTION("IMPORTRANGE(""https://docs.google.com/spreadsheets/d/1-uDff_7J0KD5mKrp0Vvzr7lt3OU09vwQwhkpOPPYv2Y/edit?usp=sharing"",""งบพรบ!IJ28"")"),0)</f>
        <v>0</v>
      </c>
      <c r="N380" s="224">
        <f ca="1">IFERROR(__xludf.DUMMYFUNCTION("IMPORTRANGE(""https://docs.google.com/spreadsheets/d/1-uDff_7J0KD5mKrp0Vvzr7lt3OU09vwQwhkpOPPYv2Y/edit?usp=sharing"",""งบพรบ!IL28"")"),0)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IFERROR(__xludf.DUMMYFUNCTION("IMPORTRANGE(""https://docs.google.com/spreadsheets/d/1ItG2mGa2ceCfYo0BwxsXqNm01IGEUdYcSSLTEv9YCik/edit?usp=sharing"",""เบิกจ่ายกองทุน!BX28"")"),125000)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IFERROR(__xludf.DUMMYFUNCTION("IMPORTRANGE(""https://docs.google.com/spreadsheets/d/1ItG2mGa2ceCfYo0BwxsXqNm01IGEUdYcSSLTEv9YCik/edit?usp=sharing"",""เบิกจ่ายกองทุน!BY28"")"),50780)</f>
        <v>50780</v>
      </c>
      <c r="T380" s="224">
        <f ca="1">IF(Q380&gt;0,S380*100/Q380,0)</f>
        <v>40.624000000000002</v>
      </c>
      <c r="U380" s="224">
        <f ca="1">IF(R380&gt;0,S380*100/R380,0)</f>
        <v>40.624000000000002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IFERROR(__xludf.DUMMYFUNCTION("IMPORTRANGE(""https://docs.google.com/spreadsheets/d/1-uDff_7J0KD5mKrp0Vvzr7lt3OU09vwQwhkpOPPYv2Y/edit?usp=sharing"",""งบพรบ!IH28"")"),0)</f>
        <v>0</v>
      </c>
      <c r="M383" s="224">
        <f ca="1">IFERROR(__xludf.DUMMYFUNCTION("IMPORTRANGE(""https://docs.google.com/spreadsheets/d/1-uDff_7J0KD5mKrp0Vvzr7lt3OU09vwQwhkpOPPYv2Y/edit?usp=sharing"",""งบพรบ!IK28"")"),0)</f>
        <v>0</v>
      </c>
      <c r="N383" s="224">
        <f ca="1">IFERROR(__xludf.DUMMYFUNCTION("IMPORTRANGE(""https://docs.google.com/spreadsheets/d/1-uDff_7J0KD5mKrp0Vvzr7lt3OU09vwQwhkpOPPYv2Y/edit?usp=sharing"",""งบพรบ!IM28"")"),0)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IFERROR(__xludf.DUMMYFUNCTION("IMPORTRANGE(""https://docs.google.com/spreadsheets/d/1w5rwWK1o49a35cNtocGL0gxDwhFSTZUQu90BiH9_zqM/edit?usp=sharing"",""RTK!H28"")"),79)</f>
        <v>79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IFERROR(__xludf.DUMMYFUNCTION("IMPORTRANGE(""https://docs.google.com/spreadsheets/d/1w5rwWK1o49a35cNtocGL0gxDwhFSTZUQu90BiH9_zqM/edit?usp=sharing"",""RTK!G28"")"),2000)</f>
        <v>2000</v>
      </c>
      <c r="J386" s="184">
        <f ca="1">IFERROR(__xludf.DUMMYFUNCTION("IMPORTRANGE(""https://docs.google.com/spreadsheets/d/1w5rwWK1o49a35cNtocGL0gxDwhFSTZUQu90BiH9_zqM/edit?usp=sharing"",""RTK!I28"")"),701)</f>
        <v>701</v>
      </c>
      <c r="K386" s="224">
        <f ca="1">IF(I386&gt;0,J386*100/I386,0)</f>
        <v>35.049999999999997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IFERROR(__xludf.DUMMYFUNCTION("IMPORTRANGE(""https://docs.google.com/spreadsheets/d/1w5rwWK1o49a35cNtocGL0gxDwhFSTZUQu90BiH9_zqM/edit?usp=sharing"",""RTK!L28"")"),0)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IFERROR(__xludf.DUMMYFUNCTION("IMPORTRANGE(""https://docs.google.com/spreadsheets/d/1w5rwWK1o49a35cNtocGL0gxDwhFSTZUQu90BiH9_zqM/edit?usp=sharing"",""RTK!K28"")"),0)</f>
        <v>0</v>
      </c>
      <c r="J388" s="559">
        <f ca="1">IFERROR(__xludf.DUMMYFUNCTION("IMPORTRANGE(""https://docs.google.com/spreadsheets/d/1w5rwWK1o49a35cNtocGL0gxDwhFSTZUQu90BiH9_zqM/edit?usp=sharing"",""RTK!M28"")"),0)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IFERROR(__xludf.DUMMYFUNCTION("IMPORTRANGE(""https://docs.google.com/spreadsheets/d/1ItG2mGa2ceCfYo0BwxsXqNm01IGEUdYcSSLTEv9YCik/edit?usp=sharing"",""เบิกจ่ายกองทุน!CL28"")"),0)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IFERROR(__xludf.DUMMYFUNCTION("IMPORTRANGE(""https://docs.google.com/spreadsheets/d/1ItG2mGa2ceCfYo0BwxsXqNm01IGEUdYcSSLTEv9YCik/edit?usp=sharing"",""เบิกจ่ายกองทุน!CM28"")"),0)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IFERROR(__xludf.DUMMYFUNCTION("IMPORTRANGE(""https://docs.google.com/spreadsheets/d/1ItG2mGa2ceCfYo0BwxsXqNm01IGEUdYcSSLTEv9YCik/edit?usp=sharing"",""เบิกจ่ายกองทุน!CN28"")"),0)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91916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614810</v>
      </c>
      <c r="M413" s="547">
        <f ca="1">M414+M415</f>
        <v>614810</v>
      </c>
      <c r="N413" s="547">
        <f ca="1">N414+N415</f>
        <v>288488.27</v>
      </c>
      <c r="O413" s="547">
        <f ca="1">IF(L413&gt;0,N413*100/L413,0)</f>
        <v>46.923158374131845</v>
      </c>
      <c r="P413" s="547">
        <f ca="1">IF(M413&gt;0,N413*100/M413,0)</f>
        <v>46.923158374131845</v>
      </c>
      <c r="Q413" s="547">
        <f ca="1">Q414+Q415</f>
        <v>72740</v>
      </c>
      <c r="R413" s="547">
        <f ca="1">R414+R415</f>
        <v>72740</v>
      </c>
      <c r="S413" s="547">
        <f ca="1">S414+S415</f>
        <v>43214</v>
      </c>
      <c r="T413" s="547">
        <f ca="1">IF(Q413&gt;0,S413*100/Q413,0)</f>
        <v>59.408853450646134</v>
      </c>
      <c r="U413" s="547">
        <f ca="1">IF(R413&gt;0,S413*100/R413,0)</f>
        <v>59.408853450646134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614810</v>
      </c>
      <c r="M415" s="224">
        <f ca="1">M418+M421</f>
        <v>614810</v>
      </c>
      <c r="N415" s="224">
        <f ca="1">N418+N421</f>
        <v>288488.27</v>
      </c>
      <c r="O415" s="224">
        <f ca="1">IF(L415&gt;0,N415*100/L415,0)</f>
        <v>46.923158374131845</v>
      </c>
      <c r="P415" s="224">
        <f ca="1">IF(M415&gt;0,N415*100/M415,0)</f>
        <v>46.923158374131845</v>
      </c>
      <c r="Q415" s="224">
        <f ca="1">Q418+Q421</f>
        <v>72740</v>
      </c>
      <c r="R415" s="224">
        <f ca="1">R418+R421</f>
        <v>72740</v>
      </c>
      <c r="S415" s="224">
        <f ca="1">S418+S421</f>
        <v>43214</v>
      </c>
      <c r="T415" s="224">
        <f ca="1">IF(Q415&gt;0,S415*100/Q415,0)</f>
        <v>59.408853450646134</v>
      </c>
      <c r="U415" s="224">
        <f ca="1">IF(R415&gt;0,S415*100/R415,0)</f>
        <v>59.408853450646134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614810</v>
      </c>
      <c r="M416" s="224">
        <f ca="1">M417+M418</f>
        <v>614810</v>
      </c>
      <c r="N416" s="224">
        <f ca="1">N417+N418</f>
        <v>288488.27</v>
      </c>
      <c r="O416" s="224">
        <f ca="1">IF(L416&gt;0,N416*100/L416,0)</f>
        <v>46.923158374131845</v>
      </c>
      <c r="P416" s="224">
        <f ca="1">IF(M416&gt;0,N416*100/M416,0)</f>
        <v>46.923158374131845</v>
      </c>
      <c r="Q416" s="224">
        <f ca="1">Q417+Q418</f>
        <v>72740</v>
      </c>
      <c r="R416" s="224">
        <f ca="1">R417+R418</f>
        <v>72740</v>
      </c>
      <c r="S416" s="224">
        <f ca="1">S417+S418</f>
        <v>43214</v>
      </c>
      <c r="T416" s="224">
        <f ca="1">IF(Q416&gt;0,S416*100/Q416,0)</f>
        <v>59.408853450646134</v>
      </c>
      <c r="U416" s="224">
        <f ca="1">IF(R416&gt;0,S416*100/R416,0)</f>
        <v>59.408853450646134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IFERROR(__xludf.DUMMYFUNCTION("IMPORTRANGE(""https://docs.google.com/spreadsheets/d/1-uDff_7J0KD5mKrp0Vvzr7lt3OU09vwQwhkpOPPYv2Y/edit?usp=sharing"",""งบพรบ!IO28"")"),614810)</f>
        <v>614810</v>
      </c>
      <c r="M418" s="224">
        <f ca="1">IFERROR(__xludf.DUMMYFUNCTION("IMPORTRANGE(""https://docs.google.com/spreadsheets/d/1-uDff_7J0KD5mKrp0Vvzr7lt3OU09vwQwhkpOPPYv2Y/edit?usp=sharing"",""งบพรบ!IT28"")"),614810)</f>
        <v>614810</v>
      </c>
      <c r="N418" s="224">
        <f ca="1">IFERROR(__xludf.DUMMYFUNCTION("IMPORTRANGE(""https://docs.google.com/spreadsheets/d/1-uDff_7J0KD5mKrp0Vvzr7lt3OU09vwQwhkpOPPYv2Y/edit?usp=sharing"",""งบพรบ!IV28"")"),288488.27)</f>
        <v>288488.27</v>
      </c>
      <c r="O418" s="224">
        <f ca="1">IF(L418&gt;0,N418*100/L418,0)</f>
        <v>46.923158374131845</v>
      </c>
      <c r="P418" s="224">
        <f ca="1">IF(M418&gt;0,N418*100/M418,0)</f>
        <v>46.923158374131845</v>
      </c>
      <c r="Q418" s="224">
        <f ca="1">IFERROR(__xludf.DUMMYFUNCTION("IMPORTRANGE(""https://docs.google.com/spreadsheets/d/1ItG2mGa2ceCfYo0BwxsXqNm01IGEUdYcSSLTEv9YCik/edit?usp=sharing"",""เบิกจ่ายกองทุน!BZ28"")"),72740)</f>
        <v>72740</v>
      </c>
      <c r="R418" s="224">
        <f ca="1">IFERROR(__xludf.DUMMYFUNCTION("IMPORTRANGE(""https://docs.google.com/spreadsheets/d/1ItG2mGa2ceCfYo0BwxsXqNm01IGEUdYcSSLTEv9YCik/edit?usp=sharing"",""เบิกจ่ายกองทุน!CA28"")"),72740)</f>
        <v>72740</v>
      </c>
      <c r="S418" s="224">
        <f ca="1">IFERROR(__xludf.DUMMYFUNCTION("IMPORTRANGE(""https://docs.google.com/spreadsheets/d/1ItG2mGa2ceCfYo0BwxsXqNm01IGEUdYcSSLTEv9YCik/edit?usp=sharing"",""เบิกจ่ายกองทุน!CB28"")"),43214)</f>
        <v>43214</v>
      </c>
      <c r="T418" s="224">
        <f ca="1">IF(Q418&gt;0,S418*100/Q418,0)</f>
        <v>59.408853450646134</v>
      </c>
      <c r="U418" s="224">
        <f ca="1">IF(R418&gt;0,S418*100/R418,0)</f>
        <v>59.408853450646134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IFERROR(__xludf.DUMMYFUNCTION("IMPORTRANGE(""https://docs.google.com/spreadsheets/d/1-uDff_7J0KD5mKrp0Vvzr7lt3OU09vwQwhkpOPPYv2Y/edit?usp=sharing"",""งบพรบ!IR28"")"),0)</f>
        <v>0</v>
      </c>
      <c r="M421" s="224">
        <f ca="1">IFERROR(__xludf.DUMMYFUNCTION("IMPORTRANGE(""https://docs.google.com/spreadsheets/d/1-uDff_7J0KD5mKrp0Vvzr7lt3OU09vwQwhkpOPPYv2Y/edit?usp=sharing"",""งบพรบ!IU28"")"),0)</f>
        <v>0</v>
      </c>
      <c r="N421" s="224">
        <f ca="1">IFERROR(__xludf.DUMMYFUNCTION("IMPORTRANGE(""https://docs.google.com/spreadsheets/d/1-uDff_7J0KD5mKrp0Vvzr7lt3OU09vwQwhkpOPPYv2Y/edit?usp=sharing"",""งบพรบ!IW28"")"),0)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91916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IFERROR(__xludf.DUMMYFUNCTION("IMPORTRANGE(""https://docs.google.com/spreadsheets/d/1eHaY18a8A9IcSdp1K8H6x8fbOy06t2VsZHhMHf-1x7Y/edit?usp=sharing"",""แผน!HJ28"")"),91916)</f>
        <v>91916</v>
      </c>
      <c r="J424" s="650">
        <f>J426+J428+J430</f>
        <v>91916</v>
      </c>
      <c r="K424" s="547">
        <f ca="1">IF(I424&gt;0,J424*100/I424,0)</f>
        <v>100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IFERROR(__xludf.DUMMYFUNCTION("IMPORTRANGE(""https://docs.google.com/spreadsheets/d/1eHaY18a8A9IcSdp1K8H6x8fbOy06t2VsZHhMHf-1x7Y/edit?usp=sharing"",""แผน!HK28"")"),8168)</f>
        <v>8168</v>
      </c>
      <c r="J425" s="650">
        <f>J427+J429+J431</f>
        <v>8168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71320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6596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16114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1190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4482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382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IFERROR(__xludf.DUMMYFUNCTION("IMPORTRANGE(""https://docs.google.com/spreadsheets/d/1eHaY18a8A9IcSdp1K8H6x8fbOy06t2VsZHhMHf-1x7Y/edit?usp=sharing"",""แผน!HJ28"")"),91916)</f>
        <v>91916</v>
      </c>
      <c r="J432" s="650">
        <f>J434+J436+J438</f>
        <v>91915</v>
      </c>
      <c r="K432" s="547">
        <f ca="1">IF(I432&gt;0,J432*100/I432,0)</f>
        <v>99.998912050132731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IFERROR(__xludf.DUMMYFUNCTION("IMPORTRANGE(""https://docs.google.com/spreadsheets/d/1eHaY18a8A9IcSdp1K8H6x8fbOy06t2VsZHhMHf-1x7Y/edit?usp=sharing"",""แผน!HK28"")"),8168)</f>
        <v>8168</v>
      </c>
      <c r="J433" s="650">
        <f>J435+J437+J439</f>
        <v>8168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74874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6879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13016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940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4025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349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IFERROR(__xludf.DUMMYFUNCTION("IMPORTRANGE(""https://docs.google.com/spreadsheets/d/1eHaY18a8A9IcSdp1K8H6x8fbOy06t2VsZHhMHf-1x7Y/edit?usp=sharing"",""แผน!HJ28"")"),91916)</f>
        <v>91916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IFERROR(__xludf.DUMMYFUNCTION("IMPORTRANGE(""https://docs.google.com/spreadsheets/d/1eHaY18a8A9IcSdp1K8H6x8fbOy06t2VsZHhMHf-1x7Y/edit?usp=sharing"",""แผน!HK28"")"),8168)</f>
        <v>8168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4429.28</v>
      </c>
      <c r="J456" s="648">
        <f>J457</f>
        <v>3483</v>
      </c>
      <c r="K456" s="578">
        <f ca="1">IF(I456&gt;0,J456*100/I456,0)</f>
        <v>78.635805367915339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IFERROR(__xludf.DUMMYFUNCTION("IMPORTRANGE(""https://docs.google.com/spreadsheets/d/1eHaY18a8A9IcSdp1K8H6x8fbOy06t2VsZHhMHf-1x7Y/edit?usp=sharing"",""แผน!HL28"")"),4429.28)</f>
        <v>4429.28</v>
      </c>
      <c r="J457" s="650">
        <f>J459+J467+J473</f>
        <v>3483</v>
      </c>
      <c r="K457" s="547">
        <f ca="1">IF(I457&gt;0,J457*100/I457,0)</f>
        <v>78.635805367915339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IFERROR(__xludf.DUMMYFUNCTION("IMPORTRANGE(""https://docs.google.com/spreadsheets/d/1eHaY18a8A9IcSdp1K8H6x8fbOy06t2VsZHhMHf-1x7Y/edit?usp=sharing"",""แผน!HM28"")"),450)</f>
        <v>450</v>
      </c>
      <c r="J458" s="650">
        <f>J460+J468+J474</f>
        <v>304</v>
      </c>
      <c r="K458" s="547">
        <f ca="1">IF(I458&gt;0,J458*100/I458,0)</f>
        <v>67.555555555555557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3483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304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3483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304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47">
        <f ca="1">IFERROR(__xludf.DUMMYFUNCTION("IMPORTRANGE(""https://docs.google.com/spreadsheets/d/1eHaY18a8A9IcSdp1K8H6x8fbOy06t2VsZHhMHf-1x7Y/edit?usp=sharing"",""แผน!HO28"")"),172)</f>
        <v>172</v>
      </c>
      <c r="J484" s="638">
        <f>J486+J488+J490</f>
        <v>172</v>
      </c>
      <c r="K484" s="637">
        <f ca="1">IF(I484&gt;0,J484*100/I484,0)</f>
        <v>100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47">
        <f ca="1">IFERROR(__xludf.DUMMYFUNCTION("IMPORTRANGE(""https://docs.google.com/spreadsheets/d/1eHaY18a8A9IcSdp1K8H6x8fbOy06t2VsZHhMHf-1x7Y/edit?usp=sharing"",""แผน!HN28"")"),6)</f>
        <v>6</v>
      </c>
      <c r="J485" s="638">
        <f>J487+J489+J491</f>
        <v>6</v>
      </c>
      <c r="K485" s="637">
        <f ca="1">IF(I485&gt;0,J485*100/I485,0)</f>
        <v>100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2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1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170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5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IFERROR(__xludf.DUMMYFUNCTION("IMPORTRANGE(""https://docs.google.com/spreadsheets/d/1-uDff_7J0KD5mKrp0Vvzr7lt3OU09vwQwhkpOPPYv2Y/edit?usp=sharing"",""งบพรบ!HU28"")"),0)</f>
        <v>0</v>
      </c>
      <c r="M498" s="224">
        <f ca="1">IFERROR(__xludf.DUMMYFUNCTION("IMPORTRANGE(""https://docs.google.com/spreadsheets/d/1-uDff_7J0KD5mKrp0Vvzr7lt3OU09vwQwhkpOPPYv2Y/edit?usp=sharing"",""งบพรบ!HZ28"")"),0)</f>
        <v>0</v>
      </c>
      <c r="N498" s="224">
        <f ca="1">IFERROR(__xludf.DUMMYFUNCTION("IMPORTRANGE(""https://docs.google.com/spreadsheets/d/1-uDff_7J0KD5mKrp0Vvzr7lt3OU09vwQwhkpOPPYv2Y/edit?usp=sharing"",""งบพรบ!IB28"")"),0)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IFERROR(__xludf.DUMMYFUNCTION("IMPORTRANGE(""https://docs.google.com/spreadsheets/d/1ItG2mGa2ceCfYo0BwxsXqNm01IGEUdYcSSLTEv9YCik/edit?usp=sharing"",""เบิกจ่ายกองทุน!AF28"")"),0)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IFERROR(__xludf.DUMMYFUNCTION("IMPORTRANGE(""https://docs.google.com/spreadsheets/d/1-uDff_7J0KD5mKrp0Vvzr7lt3OU09vwQwhkpOPPYv2Y/edit?usp=sharing"",""งบพรบ!HX28"")"),0)</f>
        <v>0</v>
      </c>
      <c r="M501" s="224">
        <f ca="1">IFERROR(__xludf.DUMMYFUNCTION("IMPORTRANGE(""https://docs.google.com/spreadsheets/d/1-uDff_7J0KD5mKrp0Vvzr7lt3OU09vwQwhkpOPPYv2Y/edit?usp=sharing"",""งบพรบ!IA28"")"),0)</f>
        <v>0</v>
      </c>
      <c r="N501" s="224">
        <f ca="1">IFERROR(__xludf.DUMMYFUNCTION("IMPORTRANGE(""https://docs.google.com/spreadsheets/d/1-uDff_7J0KD5mKrp0Vvzr7lt3OU09vwQwhkpOPPYv2Y/edit?usp=sharing"",""งบพรบ!IC28"")"),0)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IFERROR(__xludf.DUMMYFUNCTION("IMPORTRANGE(""https://docs.google.com/spreadsheets/d/1eHaY18a8A9IcSdp1K8H6x8fbOy06t2VsZHhMHf-1x7Y/edit?usp=sharing"",""แผน!GX28"")"),0)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IFERROR(__xludf.DUMMYFUNCTION("IMPORTRANGE(""https://docs.google.com/spreadsheets/d/1eHaY18a8A9IcSdp1K8H6x8fbOy06t2VsZHhMHf-1x7Y/edit?usp=sharing"",""แผน!GY28"")"),0)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IFERROR(__xludf.DUMMYFUNCTION("IMPORTRANGE(""https://docs.google.com/spreadsheets/d/1eHaY18a8A9IcSdp1K8H6x8fbOy06t2VsZHhMHf-1x7Y/edit?usp=sharing"",""แผน!GZ28"")"),0)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IFERROR(__xludf.DUMMYFUNCTION("IMPORTRANGE(""https://docs.google.com/spreadsheets/d/1eHaY18a8A9IcSdp1K8H6x8fbOy06t2VsZHhMHf-1x7Y/edit?usp=sharing"",""แผน!HA28"")"),0)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IFERROR(__xludf.DUMMYFUNCTION("IMPORTRANGE(""https://docs.google.com/spreadsheets/d/1eHaY18a8A9IcSdp1K8H6x8fbOy06t2VsZHhMHf-1x7Y/edit?usp=sharing"",""แผน!HB28"")"),0)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IFERROR(__xludf.DUMMYFUNCTION("IMPORTRANGE(""https://docs.google.com/spreadsheets/d/1eHaY18a8A9IcSdp1K8H6x8fbOy06t2VsZHhMHf-1x7Y/edit?usp=sharing"",""แผน!HC28"")"),0)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IFERROR(__xludf.DUMMYFUNCTION("IMPORTRANGE(""https://docs.google.com/spreadsheets/d/1-uDff_7J0KD5mKrp0Vvzr7lt3OU09vwQwhkpOPPYv2Y/edit?usp=sharing"",""งบพรบ!FM28"")"),0)</f>
        <v>0</v>
      </c>
      <c r="M518" s="224">
        <f ca="1">IFERROR(__xludf.DUMMYFUNCTION("IMPORTRANGE(""https://docs.google.com/spreadsheets/d/1-uDff_7J0KD5mKrp0Vvzr7lt3OU09vwQwhkpOPPYv2Y/edit?usp=sharing"",""งบพรบ!FR28"")"),0)</f>
        <v>0</v>
      </c>
      <c r="N518" s="224">
        <f ca="1">IFERROR(__xludf.DUMMYFUNCTION("IMPORTRANGE(""https://docs.google.com/spreadsheets/d/1-uDff_7J0KD5mKrp0Vvzr7lt3OU09vwQwhkpOPPYv2Y/edit?usp=sharing"",""งบพรบ!FT28"")"),0)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IFERROR(__xludf.DUMMYFUNCTION("IMPORTRANGE(""https://docs.google.com/spreadsheets/d/1-uDff_7J0KD5mKrp0Vvzr7lt3OU09vwQwhkpOPPYv2Y/edit?usp=sharing"",""งบพรบ!FP28"")"),0)</f>
        <v>0</v>
      </c>
      <c r="M521" s="224">
        <f ca="1">IFERROR(__xludf.DUMMYFUNCTION("IMPORTRANGE(""https://docs.google.com/spreadsheets/d/1-uDff_7J0KD5mKrp0Vvzr7lt3OU09vwQwhkpOPPYv2Y/edit?usp=sharing"",""งบพรบ!FS28"")"),0)</f>
        <v>0</v>
      </c>
      <c r="N521" s="224">
        <f ca="1">IFERROR(__xludf.DUMMYFUNCTION("IMPORTRANGE(""https://docs.google.com/spreadsheets/d/1-uDff_7J0KD5mKrp0Vvzr7lt3OU09vwQwhkpOPPYv2Y/edit?usp=sharing"",""งบพรบ!FU28"")"),0)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IFERROR(__xludf.DUMMYFUNCTION("IMPORTRANGE(""https://docs.google.com/spreadsheets/d/1-uDff_7J0KD5mKrp0Vvzr7lt3OU09vwQwhkpOPPYv2Y/edit?usp=sharing"",""งบพรบ!FW28"")"),0)</f>
        <v>0</v>
      </c>
      <c r="M539" s="224">
        <f ca="1">IFERROR(__xludf.DUMMYFUNCTION("IMPORTRANGE(""https://docs.google.com/spreadsheets/d/1-uDff_7J0KD5mKrp0Vvzr7lt3OU09vwQwhkpOPPYv2Y/edit?usp=sharing"",""งบพรบ!GB28"")"),0)</f>
        <v>0</v>
      </c>
      <c r="N539" s="224">
        <f ca="1">IFERROR(__xludf.DUMMYFUNCTION("IMPORTRANGE(""https://docs.google.com/spreadsheets/d/1-uDff_7J0KD5mKrp0Vvzr7lt3OU09vwQwhkpOPPYv2Y/edit?usp=sharing"",""งบพรบ!GD28"")"),0)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IFERROR(__xludf.DUMMYFUNCTION("IMPORTRANGE(""https://docs.google.com/spreadsheets/d/1-uDff_7J0KD5mKrp0Vvzr7lt3OU09vwQwhkpOPPYv2Y/edit?usp=sharing"",""งบพรบ!FZ28"")"),0)</f>
        <v>0</v>
      </c>
      <c r="M542" s="224">
        <f ca="1">IFERROR(__xludf.DUMMYFUNCTION("IMPORTRANGE(""https://docs.google.com/spreadsheets/d/1-uDff_7J0KD5mKrp0Vvzr7lt3OU09vwQwhkpOPPYv2Y/edit?usp=sharing"",""งบพรบ!GC28"")"),0)</f>
        <v>0</v>
      </c>
      <c r="N542" s="224">
        <f ca="1">IFERROR(__xludf.DUMMYFUNCTION("IMPORTRANGE(""https://docs.google.com/spreadsheets/d/1-uDff_7J0KD5mKrp0Vvzr7lt3OU09vwQwhkpOPPYv2Y/edit?usp=sharing"",""งบพรบ!GE28"")"),0)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IFERROR(__xludf.DUMMYFUNCTION("IMPORTRANGE(""https://docs.google.com/spreadsheets/d/1-uDff_7J0KD5mKrp0Vvzr7lt3OU09vwQwhkpOPPYv2Y/edit?usp=sharing"",""งบพรบ!GG28"")"),0)</f>
        <v>0</v>
      </c>
      <c r="M560" s="224">
        <f ca="1">IFERROR(__xludf.DUMMYFUNCTION("IMPORTRANGE(""https://docs.google.com/spreadsheets/d/1-uDff_7J0KD5mKrp0Vvzr7lt3OU09vwQwhkpOPPYv2Y/edit?usp=sharing"",""งบพรบ!GL28"")"),0)</f>
        <v>0</v>
      </c>
      <c r="N560" s="224">
        <f ca="1">IFERROR(__xludf.DUMMYFUNCTION("IMPORTRANGE(""https://docs.google.com/spreadsheets/d/1-uDff_7J0KD5mKrp0Vvzr7lt3OU09vwQwhkpOPPYv2Y/edit?usp=sharing"",""งบพรบ!GN28"")"),0)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IFERROR(__xludf.DUMMYFUNCTION("IMPORTRANGE(""https://docs.google.com/spreadsheets/d/1-uDff_7J0KD5mKrp0Vvzr7lt3OU09vwQwhkpOPPYv2Y/edit?usp=sharing"",""งบพรบ!GJ28"")"),0)</f>
        <v>0</v>
      </c>
      <c r="M563" s="224">
        <f ca="1">IFERROR(__xludf.DUMMYFUNCTION("IMPORTRANGE(""https://docs.google.com/spreadsheets/d/1-uDff_7J0KD5mKrp0Vvzr7lt3OU09vwQwhkpOPPYv2Y/edit?usp=sharing"",""งบพรบ!GM28"")"),0)</f>
        <v>0</v>
      </c>
      <c r="N563" s="224">
        <f ca="1">IFERROR(__xludf.DUMMYFUNCTION("IMPORTRANGE(""https://docs.google.com/spreadsheets/d/1-uDff_7J0KD5mKrp0Vvzr7lt3OU09vwQwhkpOPPYv2Y/edit?usp=sharing"",""งบพรบ!GO28"")"),0)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2</v>
      </c>
      <c r="J575" s="365">
        <f>J587</f>
        <v>2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114578</v>
      </c>
      <c r="M576" s="547">
        <f ca="1">M577+M578</f>
        <v>114578</v>
      </c>
      <c r="N576" s="547">
        <f ca="1">N577+N578</f>
        <v>93808</v>
      </c>
      <c r="O576" s="547">
        <f ca="1">IF(L576&gt;0,N576*100/L576,0)</f>
        <v>81.872610797884406</v>
      </c>
      <c r="P576" s="547">
        <f ca="1">IF(M576&gt;0,N576*100/M576,0)</f>
        <v>81.872610797884406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114578</v>
      </c>
      <c r="M578" s="224">
        <f ca="1">M581+M584</f>
        <v>114578</v>
      </c>
      <c r="N578" s="224">
        <f ca="1">N581+N584</f>
        <v>93808</v>
      </c>
      <c r="O578" s="224">
        <f ca="1">IF(L578&gt;0,N578*100/L578,0)</f>
        <v>81.872610797884406</v>
      </c>
      <c r="P578" s="224">
        <f ca="1">IF(M578&gt;0,N578*100/M578,0)</f>
        <v>81.872610797884406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114578</v>
      </c>
      <c r="M579" s="224">
        <f ca="1">M580+M581</f>
        <v>114578</v>
      </c>
      <c r="N579" s="224">
        <f ca="1">N580+N581</f>
        <v>93808</v>
      </c>
      <c r="O579" s="224">
        <f ca="1">IF(L579&gt;0,N579*100/L579,0)</f>
        <v>81.872610797884406</v>
      </c>
      <c r="P579" s="224">
        <f ca="1">IF(M579&gt;0,N579*100/M579,0)</f>
        <v>81.872610797884406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IFERROR(__xludf.DUMMYFUNCTION("IMPORTRANGE(""https://docs.google.com/spreadsheets/d/1-uDff_7J0KD5mKrp0Vvzr7lt3OU09vwQwhkpOPPYv2Y/edit?usp=sharing"",""งบพรบ!GQ28"")"),114578)</f>
        <v>114578</v>
      </c>
      <c r="M581" s="224">
        <f ca="1">IFERROR(__xludf.DUMMYFUNCTION("IMPORTRANGE(""https://docs.google.com/spreadsheets/d/1-uDff_7J0KD5mKrp0Vvzr7lt3OU09vwQwhkpOPPYv2Y/edit?usp=sharing"",""งบพรบ!GV28"")"),114578)</f>
        <v>114578</v>
      </c>
      <c r="N581" s="224">
        <f ca="1">IFERROR(__xludf.DUMMYFUNCTION("IMPORTRANGE(""https://docs.google.com/spreadsheets/d/1-uDff_7J0KD5mKrp0Vvzr7lt3OU09vwQwhkpOPPYv2Y/edit?usp=sharing"",""งบพรบ!GX28"")"),93808)</f>
        <v>93808</v>
      </c>
      <c r="O581" s="224">
        <f ca="1">IF(L581&gt;0,N581*100/L581,0)</f>
        <v>81.872610797884406</v>
      </c>
      <c r="P581" s="224">
        <f ca="1">IF(M581&gt;0,N581*100/M581,0)</f>
        <v>81.872610797884406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IFERROR(__xludf.DUMMYFUNCTION("IMPORTRANGE(""https://docs.google.com/spreadsheets/d/1-uDff_7J0KD5mKrp0Vvzr7lt3OU09vwQwhkpOPPYv2Y/edit?usp=sharing"",""งบพรบ!GT28"")"),0)</f>
        <v>0</v>
      </c>
      <c r="M584" s="224">
        <f ca="1">IFERROR(__xludf.DUMMYFUNCTION("IMPORTRANGE(""https://docs.google.com/spreadsheets/d/1-uDff_7J0KD5mKrp0Vvzr7lt3OU09vwQwhkpOPPYv2Y/edit?usp=sharing"",""งบพรบ!GW28"")"),0)</f>
        <v>0</v>
      </c>
      <c r="N584" s="224">
        <f ca="1">IFERROR(__xludf.DUMMYFUNCTION("IMPORTRANGE(""https://docs.google.com/spreadsheets/d/1-uDff_7J0KD5mKrp0Vvzr7lt3OU09vwQwhkpOPPYv2Y/edit?usp=sharing"",""งบพรบ!GY28"")"),0)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2</v>
      </c>
      <c r="K586" s="376">
        <f>IF(I586&gt;0,J586*100/I586,0)</f>
        <v>100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2</v>
      </c>
      <c r="J587" s="380">
        <v>2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8285</v>
      </c>
      <c r="M599" s="715">
        <f ca="1">M600+M601</f>
        <v>8285</v>
      </c>
      <c r="N599" s="715">
        <f ca="1">N600+N601</f>
        <v>3830</v>
      </c>
      <c r="O599" s="715">
        <f ca="1">IF(L599&gt;0,N599*100/L599,0)</f>
        <v>46.22812311406156</v>
      </c>
      <c r="P599" s="715">
        <f ca="1">IF(M599&gt;0,N599*100/M599,0)</f>
        <v>46.22812311406156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8285</v>
      </c>
      <c r="M601" s="558">
        <f ca="1">M604+M607</f>
        <v>8285</v>
      </c>
      <c r="N601" s="558">
        <f ca="1">N604+N607</f>
        <v>3830</v>
      </c>
      <c r="O601" s="558">
        <f ca="1">IF(L601&gt;0,N601*100/L601,0)</f>
        <v>46.22812311406156</v>
      </c>
      <c r="P601" s="558">
        <f ca="1">IF(M601&gt;0,N601*100/M601,0)</f>
        <v>46.22812311406156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8285</v>
      </c>
      <c r="M602" s="558">
        <f ca="1">M603+M604</f>
        <v>8285</v>
      </c>
      <c r="N602" s="558">
        <f ca="1">N603+N604</f>
        <v>3830</v>
      </c>
      <c r="O602" s="558">
        <f ca="1">IF(L602&gt;0,N602*100/L602,0)</f>
        <v>46.22812311406156</v>
      </c>
      <c r="P602" s="558">
        <f ca="1">IF(M602&gt;0,N602*100/M602,0)</f>
        <v>46.22812311406156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IFERROR(__xludf.DUMMYFUNCTION("IMPORTRANGE(""https://docs.google.com/spreadsheets/d/1-uDff_7J0KD5mKrp0Vvzr7lt3OU09vwQwhkpOPPYv2Y/edit?usp=sharing"",""งบพรบ!HK28"")"),8285)</f>
        <v>8285</v>
      </c>
      <c r="M604" s="558">
        <f ca="1">IFERROR(__xludf.DUMMYFUNCTION("IMPORTRANGE(""https://docs.google.com/spreadsheets/d/1-uDff_7J0KD5mKrp0Vvzr7lt3OU09vwQwhkpOPPYv2Y/edit?usp=sharing"",""งบพรบ!HP28"")"),8285)</f>
        <v>8285</v>
      </c>
      <c r="N604" s="558">
        <f ca="1">IFERROR(__xludf.DUMMYFUNCTION("IMPORTRANGE(""https://docs.google.com/spreadsheets/d/1-uDff_7J0KD5mKrp0Vvzr7lt3OU09vwQwhkpOPPYv2Y/edit?usp=sharing"",""งบพรบ!HR28"")"),3830)</f>
        <v>3830</v>
      </c>
      <c r="O604" s="558">
        <f ca="1">IF(L604&gt;0,N604*100/L604,0)</f>
        <v>46.22812311406156</v>
      </c>
      <c r="P604" s="558">
        <f ca="1">IF(M604&gt;0,N604*100/M604,0)</f>
        <v>46.22812311406156</v>
      </c>
      <c r="Q604" s="558">
        <f ca="1">IFERROR(__xludf.DUMMYFUNCTION("IMPORTRANGE(""https://docs.google.com/spreadsheets/d/1ItG2mGa2ceCfYo0BwxsXqNm01IGEUdYcSSLTEv9YCik/edit?usp=sharing"",""เบิกจ่ายกองทุน!AV28"")"),0)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IFERROR(__xludf.DUMMYFUNCTION("IMPORTRANGE(""https://docs.google.com/spreadsheets/d/1ItG2mGa2ceCfYo0BwxsXqNm01IGEUdYcSSLTEv9YCik/edit?usp=sharing"",""เบิกจ่ายกองทุน!AW28"")"),0)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IFERROR(__xludf.DUMMYFUNCTION("IMPORTRANGE(""https://docs.google.com/spreadsheets/d/1ItG2mGa2ceCfYo0BwxsXqNm01IGEUdYcSSLTEv9YCik/edit?usp=sharing"",""เบิกจ่ายกองทุน!AX28"")"),0)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IFERROR(__xludf.DUMMYFUNCTION("IMPORTRANGE(""https://docs.google.com/spreadsheets/d/1-uDff_7J0KD5mKrp0Vvzr7lt3OU09vwQwhkpOPPYv2Y/edit?usp=sharing"",""งบพรบ!HN28"")"),0)</f>
        <v>0</v>
      </c>
      <c r="M607" s="558">
        <f ca="1">IFERROR(__xludf.DUMMYFUNCTION("IMPORTRANGE(""https://docs.google.com/spreadsheets/d/1-uDff_7J0KD5mKrp0Vvzr7lt3OU09vwQwhkpOPPYv2Y/edit?usp=sharing"",""งบพรบ!HQ28"")"),0)</f>
        <v>0</v>
      </c>
      <c r="N607" s="558">
        <f ca="1">IFERROR(__xludf.DUMMYFUNCTION("IMPORTRANGE(""https://docs.google.com/spreadsheets/d/1-uDff_7J0KD5mKrp0Vvzr7lt3OU09vwQwhkpOPPYv2Y/edit?usp=sharing"",""งบพรบ!HS28"")"),0)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IFERROR(__xludf.DUMMYFUNCTION("IMPORTRANGE(""https://docs.google.com/spreadsheets/d/1ItG2mGa2ceCfYo0BwxsXqNm01IGEUdYcSSLTEv9YCik/edit?usp=sharing"",""เบิกจ่ายกองทุน!AY28"")"),0)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IFERROR(__xludf.DUMMYFUNCTION("IMPORTRANGE(""https://docs.google.com/spreadsheets/d/1ItG2mGa2ceCfYo0BwxsXqNm01IGEUdYcSSLTEv9YCik/edit?usp=sharing"",""เบิกจ่ายกองทุน!AZ28"")"),0)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IFERROR(__xludf.DUMMYFUNCTION("IMPORTRANGE(""https://docs.google.com/spreadsheets/d/1ItG2mGa2ceCfYo0BwxsXqNm01IGEUdYcSSLTEv9YCik/edit?usp=sharing"",""เบิกจ่ายกองทุน!BA28"")"),0)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100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11725</v>
      </c>
      <c r="R616" s="547">
        <f ca="1">R617+R618</f>
        <v>11725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11725</v>
      </c>
      <c r="R618" s="224">
        <f ca="1">R621+R624</f>
        <v>11725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11725</v>
      </c>
      <c r="R619" s="224">
        <f ca="1">R620+R621</f>
        <v>11725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1" s="224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1" s="224">
        <f ca="1">IFERROR(__xludf.DUMMYFUNCTION("IMPORTRANGE(""https://docs.google.com/spreadsheets/d/1ItG2mGa2ceCfYo0BwxsXqNm01IGEUdYcSSLTEv9YCik/edit?usp=sharing"",""เบิกจ่ายกองทุน!H28"")"),0)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IFERROR(__xludf.DUMMYFUNCTION("IMPORTRANGE(""https://docs.google.com/spreadsheets/d/1eHaY18a8A9IcSdp1K8H6x8fbOy06t2VsZHhMHf-1x7Y/edit?usp=sharing"",""แผน!ID28"")"),100)</f>
        <v>100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IFERROR(__xludf.DUMMYFUNCTION("IMPORTRANGE(""https://docs.google.com/spreadsheets/d/1eHaY18a8A9IcSdp1K8H6x8fbOy06t2VsZHhMHf-1x7Y/edit?usp=sharing"",""แผน!IC28"")"),0)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IFERROR(__xludf.DUMMYFUNCTION("IMPORTRANGE(""https://docs.google.com/spreadsheets/d/1eHaY18a8A9IcSdp1K8H6x8fbOy06t2VsZHhMHf-1x7Y/edit?usp=sharing"",""แผน!IC28"")"),0)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IFERROR(__xludf.DUMMYFUNCTION("IMPORTRANGE(""https://docs.google.com/spreadsheets/d/1eHaY18a8A9IcSdp1K8H6x8fbOy06t2VsZHhMHf-1x7Y/edit?usp=sharing"",""แผน!IE28"")"),0)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2180</v>
      </c>
      <c r="R642" s="547">
        <f ca="1">R643+R644</f>
        <v>2180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2180</v>
      </c>
      <c r="R644" s="224">
        <f ca="1">R647+R650</f>
        <v>2180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2180</v>
      </c>
      <c r="R645" s="224">
        <f ca="1">R646+R647</f>
        <v>2180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IFERROR(__xludf.DUMMYFUNCTION("IMPORTRANGE(""https://docs.google.com/spreadsheets/d/1ItG2mGa2ceCfYo0BwxsXqNm01IGEUdYcSSLTEv9YCik/edit?usp=sharing"",""เบิกจ่ายกองทุน!I28"")"),2180)</f>
        <v>2180</v>
      </c>
      <c r="R647" s="224">
        <f ca="1">IFERROR(__xludf.DUMMYFUNCTION("IMPORTRANGE(""https://docs.google.com/spreadsheets/d/1ItG2mGa2ceCfYo0BwxsXqNm01IGEUdYcSSLTEv9YCik/edit?usp=sharing"",""เบิกจ่ายกองทุน!J28"")"),2180)</f>
        <v>2180</v>
      </c>
      <c r="S647" s="224">
        <f ca="1">IFERROR(__xludf.DUMMYFUNCTION("IMPORTRANGE(""https://docs.google.com/spreadsheets/d/1ItG2mGa2ceCfYo0BwxsXqNm01IGEUdYcSSLTEv9YCik/edit?usp=sharing"",""เบิกจ่ายกองทุน!K28"")"),0)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IFERROR(__xludf.DUMMYFUNCTION("IMPORTRANGE(""https://docs.google.com/spreadsheets/d/1eHaY18a8A9IcSdp1K8H6x8fbOy06t2VsZHhMHf-1x7Y/edit?usp=sharing"",""แผน!IF28"")"),0)</f>
        <v>0</v>
      </c>
      <c r="J652" s="184">
        <f ca="1">IFERROR(__xludf.DUMMYFUNCTION("IMPORTRANGE(""https://docs.google.com/spreadsheets/d/1tdoBKaGub7dwA3U6UFTqxio9LNnvDCQjHKmttSEBsFQ/edit?usp=sharing"",""จัดที่ดิน!AU28"")"),0)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IFERROR(__xludf.DUMMYFUNCTION("IMPORTRANGE(""https://docs.google.com/spreadsheets/d/1eHaY18a8A9IcSdp1K8H6x8fbOy06t2VsZHhMHf-1x7Y/edit?usp=sharing"",""แผน!IG28"")"),0)</f>
        <v>0</v>
      </c>
      <c r="J653" s="184">
        <f ca="1">IFERROR(__xludf.DUMMYFUNCTION("IMPORTRANGE(""https://docs.google.com/spreadsheets/d/1tdoBKaGub7dwA3U6UFTqxio9LNnvDCQjHKmttSEBsFQ/edit?usp=sharing"",""จัดที่ดิน!AW28"")"),0)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IFERROR(__xludf.DUMMYFUNCTION("IMPORTRANGE(""https://docs.google.com/spreadsheets/d/1eHaY18a8A9IcSdp1K8H6x8fbOy06t2VsZHhMHf-1x7Y/edit?usp=sharing"",""แผน!IH28"")"),29)</f>
        <v>29</v>
      </c>
      <c r="J654" s="338">
        <f>J657+J660</f>
        <v>41</v>
      </c>
      <c r="K654" s="547">
        <f ca="1">IF(I654&gt;0,J654*100/I654,0)</f>
        <v>141.37931034482759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2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2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IFERROR(__xludf.DUMMYFUNCTION("IMPORTRANGE(""https://docs.google.com/spreadsheets/d/1eHaY18a8A9IcSdp1K8H6x8fbOy06t2VsZHhMHf-1x7Y/edit?usp=sharing"",""แผน!II28"")"),29)</f>
        <v>29</v>
      </c>
      <c r="J657" s="380">
        <v>41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IFERROR(__xludf.DUMMYFUNCTION("IMPORTRANGE(""https://docs.google.com/spreadsheets/d/1eHaY18a8A9IcSdp1K8H6x8fbOy06t2VsZHhMHf-1x7Y/edit?usp=sharing"",""แผน!IJ28"")"),0)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IFERROR(__xludf.DUMMYFUNCTION("IMPORTRANGE(""https://docs.google.com/spreadsheets/d/1eHaY18a8A9IcSdp1K8H6x8fbOy06t2VsZHhMHf-1x7Y/edit?usp=sharing"",""แผน!IK28"")"),0)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IFERROR(__xludf.DUMMYFUNCTION("IMPORTRANGE(""https://docs.google.com/spreadsheets/d/1tdoBKaGub7dwA3U6UFTqxio9LNnvDCQjHKmttSEBsFQ/edit?usp=sharing"",""จัดที่ดิน!AY28"")"),0)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IFERROR(__xludf.DUMMYFUNCTION("IMPORTRANGE(""https://docs.google.com/spreadsheets/d/1tdoBKaGub7dwA3U6UFTqxio9LNnvDCQjHKmttSEBsFQ/edit?usp=sharing"",""จัดที่ดิน!AZ28"")"),0)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IFERROR(__xludf.DUMMYFUNCTION("IMPORTRANGE(""https://docs.google.com/spreadsheets/d/1eHaY18a8A9IcSdp1K8H6x8fbOy06t2VsZHhMHf-1x7Y/edit?usp=sharing"",""แผน!IL28"")"),0)</f>
        <v>0</v>
      </c>
      <c r="J673" s="184">
        <f ca="1">IFERROR(__xludf.DUMMYFUNCTION("IMPORTRANGE(""https://docs.google.com/spreadsheets/d/1tdoBKaGub7dwA3U6UFTqxio9LNnvDCQjHKmttSEBsFQ/edit?usp=sharing"",""จัดที่ดิน!BA28"")"),0)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IFERROR(__xludf.DUMMYFUNCTION("IMPORTRANGE(""https://docs.google.com/spreadsheets/d/1eHaY18a8A9IcSdp1K8H6x8fbOy06t2VsZHhMHf-1x7Y/edit?usp=sharing"",""แผน!IM28"")"),5)</f>
        <v>5</v>
      </c>
      <c r="J674" s="338">
        <f ca="1">J676+J679</f>
        <v>1</v>
      </c>
      <c r="K674" s="547">
        <f ca="1">IF(I674&gt;0,J674*100/I674,0)</f>
        <v>20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IFERROR(__xludf.DUMMYFUNCTION("IMPORTRANGE(""https://docs.google.com/spreadsheets/d/1eHaY18a8A9IcSdp1K8H6x8fbOy06t2VsZHhMHf-1x7Y/edit?usp=sharing"",""แผน!IN28"")"),73)</f>
        <v>73</v>
      </c>
      <c r="J675" s="338">
        <f ca="1">J678+J681</f>
        <v>25</v>
      </c>
      <c r="K675" s="547">
        <f ca="1">IF(I675&gt;0,J675*100/I675,0)</f>
        <v>34.246575342465754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IFERROR(__xludf.DUMMYFUNCTION("IMPORTRANGE(""https://docs.google.com/spreadsheets/d/1eHaY18a8A9IcSdp1K8H6x8fbOy06t2VsZHhMHf-1x7Y/edit?usp=sharing"",""แผน!IO28"")"),5)</f>
        <v>5</v>
      </c>
      <c r="J676" s="184">
        <f ca="1">IFERROR(__xludf.DUMMYFUNCTION("IMPORTRANGE(""https://docs.google.com/spreadsheets/d/1tdoBKaGub7dwA3U6UFTqxio9LNnvDCQjHKmttSEBsFQ/edit?usp=sharing"",""จัดที่ดิน!BF28"")"),1)</f>
        <v>1</v>
      </c>
      <c r="K676" s="224">
        <f ca="1">IF(I676&gt;0,J676*100/I676,0)</f>
        <v>20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IFERROR(__xludf.DUMMYFUNCTION("IMPORTRANGE(""https://docs.google.com/spreadsheets/d/1tdoBKaGub7dwA3U6UFTqxio9LNnvDCQjHKmttSEBsFQ/edit?usp=sharing"",""จัดที่ดิน!BG28"")"),1)</f>
        <v>1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IFERROR(__xludf.DUMMYFUNCTION("IMPORTRANGE(""https://docs.google.com/spreadsheets/d/1eHaY18a8A9IcSdp1K8H6x8fbOy06t2VsZHhMHf-1x7Y/edit?usp=sharing"",""แผน!IP28"")"),73)</f>
        <v>73</v>
      </c>
      <c r="J678" s="184">
        <f ca="1">IFERROR(__xludf.DUMMYFUNCTION("IMPORTRANGE(""https://docs.google.com/spreadsheets/d/1tdoBKaGub7dwA3U6UFTqxio9LNnvDCQjHKmttSEBsFQ/edit?usp=sharing"",""จัดที่ดิน!BH28"")"),25)</f>
        <v>25</v>
      </c>
      <c r="K678" s="224">
        <f ca="1">IF(I678&gt;0,J678*100/I678,0)</f>
        <v>34.246575342465754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IFERROR(__xludf.DUMMYFUNCTION("IMPORTRANGE(""https://docs.google.com/spreadsheets/d/1eHaY18a8A9IcSdp1K8H6x8fbOy06t2VsZHhMHf-1x7Y/edit?usp=sharing"",""แผน!IQ28"")"),0)</f>
        <v>0</v>
      </c>
      <c r="J679" s="184">
        <f ca="1">IFERROR(__xludf.DUMMYFUNCTION("IMPORTRANGE(""https://docs.google.com/spreadsheets/d/1tdoBKaGub7dwA3U6UFTqxio9LNnvDCQjHKmttSEBsFQ/edit?usp=sharing"",""จัดที่ดิน!BK28"")"),0)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IFERROR(__xludf.DUMMYFUNCTION("IMPORTRANGE(""https://docs.google.com/spreadsheets/d/1tdoBKaGub7dwA3U6UFTqxio9LNnvDCQjHKmttSEBsFQ/edit?usp=sharing"",""จัดที่ดิน!BL28"")"),0)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IFERROR(__xludf.DUMMYFUNCTION("IMPORTRANGE(""https://docs.google.com/spreadsheets/d/1eHaY18a8A9IcSdp1K8H6x8fbOy06t2VsZHhMHf-1x7Y/edit?usp=sharing"",""แผน!IR28"")"),0)</f>
        <v>0</v>
      </c>
      <c r="J681" s="184">
        <f ca="1">IFERROR(__xludf.DUMMYFUNCTION("IMPORTRANGE(""https://docs.google.com/spreadsheets/d/1tdoBKaGub7dwA3U6UFTqxio9LNnvDCQjHKmttSEBsFQ/edit?usp=sharing"",""จัดที่ดิน!BM28"")"),0)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IFERROR(__xludf.DUMMYFUNCTION("IMPORTRANGE(""https://docs.google.com/spreadsheets/d/1eHaY18a8A9IcSdp1K8H6x8fbOy06t2VsZHhMHf-1x7Y/edit?usp=sharing"",""แผน!IS28"")"),0)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160</v>
      </c>
      <c r="J689" s="552">
        <f ca="1">J707</f>
        <v>114</v>
      </c>
      <c r="K689" s="551">
        <f ca="1">IF(I689&gt;0,J689*100/I689,0)</f>
        <v>71.25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268050</v>
      </c>
      <c r="R690" s="547">
        <f ca="1">R691+R692</f>
        <v>268050</v>
      </c>
      <c r="S690" s="547">
        <f ca="1">S691+S692</f>
        <v>214106.29</v>
      </c>
      <c r="T690" s="547">
        <f ca="1">IF(Q690&gt;0,S690*100/Q690,0)</f>
        <v>79.875504570042906</v>
      </c>
      <c r="U690" s="547">
        <f ca="1">IF(R690&gt;0,S690*100/R690,0)</f>
        <v>79.875504570042906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268050</v>
      </c>
      <c r="R692" s="224">
        <f ca="1">R695+R698</f>
        <v>268050</v>
      </c>
      <c r="S692" s="224">
        <f ca="1">S695+S698</f>
        <v>214106.29</v>
      </c>
      <c r="T692" s="224">
        <f ca="1">IF(Q692&gt;0,S692*100/Q692,0)</f>
        <v>79.875504570042906</v>
      </c>
      <c r="U692" s="224">
        <f ca="1">IF(R692&gt;0,S692*100/R692,0)</f>
        <v>79.875504570042906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268050</v>
      </c>
      <c r="R693" s="224">
        <f ca="1">R694+R695</f>
        <v>268050</v>
      </c>
      <c r="S693" s="224">
        <f ca="1">S694+S695</f>
        <v>214106.29</v>
      </c>
      <c r="T693" s="224">
        <f ca="1">IF(Q693&gt;0,S693*100/Q693,0)</f>
        <v>79.875504570042906</v>
      </c>
      <c r="U693" s="224">
        <f ca="1">IF(R693&gt;0,S693*100/R693,0)</f>
        <v>79.875504570042906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5" s="224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5" s="224">
        <f ca="1">IFERROR(__xludf.DUMMYFUNCTION("IMPORTRANGE(""https://docs.google.com/spreadsheets/d/1ItG2mGa2ceCfYo0BwxsXqNm01IGEUdYcSSLTEv9YCik/edit?usp=sharing"",""เบิกจ่ายกองทุน!N28"")"),214106.29)</f>
        <v>214106.29</v>
      </c>
      <c r="T695" s="224">
        <f ca="1">IF(Q695&gt;0,S695*100/Q695,0)</f>
        <v>79.875504570042906</v>
      </c>
      <c r="U695" s="224">
        <f ca="1">IF(R695&gt;0,S695*100/R695,0)</f>
        <v>79.875504570042906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IFERROR(__xludf.DUMMYFUNCTION("IMPORTRANGE(""https://docs.google.com/spreadsheets/d/1eHaY18a8A9IcSdp1K8H6x8fbOy06t2VsZHhMHf-1x7Y/edit?usp=sharing"",""แผน!LC28"")"),0)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163</v>
      </c>
      <c r="J701" s="338">
        <f ca="1">J703+J705</f>
        <v>169</v>
      </c>
      <c r="K701" s="547">
        <f ca="1">IF(I701&gt;0,J701*100/I701,0)</f>
        <v>103.68098159509202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149.79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IFERROR(__xludf.DUMMYFUNCTION("IMPORTRANGE(""https://docs.google.com/spreadsheets/d/1eHaY18a8A9IcSdp1K8H6x8fbOy06t2VsZHhMHf-1x7Y/edit?usp=sharing"",""แผน!LJ28"")"),160)</f>
        <v>160</v>
      </c>
      <c r="J703" s="184">
        <f ca="1">IFERROR(__xludf.DUMMYFUNCTION("IMPORTRANGE(""https://docs.google.com/spreadsheets/d/1tdoBKaGub7dwA3U6UFTqxio9LNnvDCQjHKmttSEBsFQ/edit?usp=sharing"",""จัดที่ดิน!AP28"")"),169)</f>
        <v>169</v>
      </c>
      <c r="K703" s="224">
        <f ca="1">IF(I703&gt;0,J703*100/I703,0)</f>
        <v>105.625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IFERROR(__xludf.DUMMYFUNCTION("IMPORTRANGE(""https://docs.google.com/spreadsheets/d/1tdoBKaGub7dwA3U6UFTqxio9LNnvDCQjHKmttSEBsFQ/edit?usp=sharing"",""จัดที่ดิน!AQ28"")"),149.79)</f>
        <v>149.79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IFERROR(__xludf.DUMMYFUNCTION("IMPORTRANGE(""https://docs.google.com/spreadsheets/d/1eHaY18a8A9IcSdp1K8H6x8fbOy06t2VsZHhMHf-1x7Y/edit?usp=sharing"",""แผน!LK28"")"),3)</f>
        <v>3</v>
      </c>
      <c r="J705" s="184">
        <f ca="1">IFERROR(__xludf.DUMMYFUNCTION("IMPORTRANGE(""https://docs.google.com/spreadsheets/d/1tdoBKaGub7dwA3U6UFTqxio9LNnvDCQjHKmttSEBsFQ/edit?usp=sharing"",""จัดที่ดิน!AR28"")"),0)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IFERROR(__xludf.DUMMYFUNCTION("IMPORTRANGE(""https://docs.google.com/spreadsheets/d/1tdoBKaGub7dwA3U6UFTqxio9LNnvDCQjHKmttSEBsFQ/edit?usp=sharing"",""จัดที่ดิน!AS28"")"),0)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IFERROR(__xludf.DUMMYFUNCTION("IMPORTRANGE(""https://docs.google.com/spreadsheets/d/1eHaY18a8A9IcSdp1K8H6x8fbOy06t2VsZHhMHf-1x7Y/edit?usp=sharing"",""แผน!LJ28"")"),160)</f>
        <v>160</v>
      </c>
      <c r="J707" s="184">
        <f ca="1">IFERROR(__xludf.DUMMYFUNCTION("IMPORTRANGE(""https://docs.google.com/spreadsheets/d/1tdoBKaGub7dwA3U6UFTqxio9LNnvDCQjHKmttSEBsFQ/edit?usp=sharing"",""จัดที่ดิน!BN28"")"),114)</f>
        <v>114</v>
      </c>
      <c r="K707" s="224">
        <f ca="1">IF(I707&gt;0,J707*100/I707,0)</f>
        <v>71.25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IFERROR(__xludf.DUMMYFUNCTION("IMPORTRANGE(""https://docs.google.com/spreadsheets/d/1tdoBKaGub7dwA3U6UFTqxio9LNnvDCQjHKmttSEBsFQ/edit?usp=sharing"",""จัดที่ดิน!BO28"")"),105)</f>
        <v>105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IFERROR(__xludf.DUMMYFUNCTION("IMPORTRANGE(""https://docs.google.com/spreadsheets/d/1eHaY18a8A9IcSdp1K8H6x8fbOy06t2VsZHhMHf-1x7Y/edit?usp=sharing"",""แผน!LK28"")"),3)</f>
        <v>3</v>
      </c>
      <c r="J709" s="184">
        <f ca="1">IFERROR(__xludf.DUMMYFUNCTION("IMPORTRANGE(""https://docs.google.com/spreadsheets/d/1tdoBKaGub7dwA3U6UFTqxio9LNnvDCQjHKmttSEBsFQ/edit?usp=sharing"",""จัดที่ดิน!BP28"")"),13)</f>
        <v>13</v>
      </c>
      <c r="K709" s="224">
        <f ca="1">IF(I709&gt;0,J709*100/I709,0)</f>
        <v>433.33333333333331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IFERROR(__xludf.DUMMYFUNCTION("IMPORTRANGE(""https://docs.google.com/spreadsheets/d/1tdoBKaGub7dwA3U6UFTqxio9LNnvDCQjHKmttSEBsFQ/edit?usp=sharing"",""จัดที่ดิน!BQ28"")"),0)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IFERROR(__xludf.DUMMYFUNCTION("IMPORTRANGE(""https://docs.google.com/spreadsheets/d/1eHaY18a8A9IcSdp1K8H6x8fbOy06t2VsZHhMHf-1x7Y/edit?usp=sharing"",""แผน!GA28"")"),31)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IFERROR(__xludf.DUMMYFUNCTION("IMPORTRANGE(""https://docs.google.com/spreadsheets/d/1eHaY18a8A9IcSdp1K8H6x8fbOy06t2VsZHhMHf-1x7Y/edit?usp=sharing"",""แผน!FZ28"")"),300)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198876</v>
      </c>
      <c r="T728" s="547">
        <f ca="1">IF(Q728&gt;0,S728*100/Q728,0)</f>
        <v>81.995167926908707</v>
      </c>
      <c r="U728" s="547">
        <f ca="1">IF(R728&gt;0,S728*100/R728,0)</f>
        <v>81.995167926908707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198876</v>
      </c>
      <c r="T730" s="224">
        <f ca="1">IF(Q730&gt;0,S730*100/Q730,0)</f>
        <v>81.995167926908707</v>
      </c>
      <c r="U730" s="224">
        <f ca="1">IF(R730&gt;0,S730*100/R730,0)</f>
        <v>81.995167926908707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198876</v>
      </c>
      <c r="T731" s="224">
        <f ca="1">IF(Q731&gt;0,S731*100/Q731,0)</f>
        <v>81.995167926908707</v>
      </c>
      <c r="U731" s="224">
        <f ca="1">IF(R731&gt;0,S731*100/R731,0)</f>
        <v>81.995167926908707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IFERROR(__xludf.DUMMYFUNCTION("IMPORTRANGE(""https://docs.google.com/spreadsheets/d/1ItG2mGa2ceCfYo0BwxsXqNm01IGEUdYcSSLTEv9YCik/edit?usp=sharing"",""เบิกจ่ายกองทุน!Q28"")"),198876)</f>
        <v>198876</v>
      </c>
      <c r="T733" s="224">
        <f ca="1">IF(Q733&gt;0,S733*100/Q733,0)</f>
        <v>81.995167926908707</v>
      </c>
      <c r="U733" s="224">
        <f ca="1">IF(R733&gt;0,S733*100/R733,0)</f>
        <v>81.995167926908707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IFERROR(__xludf.DUMMYFUNCTION("IMPORTRANGE(""https://docs.google.com/spreadsheets/d/1eHaY18a8A9IcSdp1K8H6x8fbOy06t2VsZHhMHf-1x7Y/edit?usp=sharing"",""แผน!GB28"")"),240)</f>
        <v>240</v>
      </c>
      <c r="J740" s="380">
        <v>240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IFERROR(__xludf.DUMMYFUNCTION("IMPORTRANGE(""https://docs.google.com/spreadsheets/d/1eHaY18a8A9IcSdp1K8H6x8fbOy06t2VsZHhMHf-1x7Y/edit?usp=sharing"",""แผน!GC28"")"),24)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IFERROR(__xludf.DUMMYFUNCTION("IMPORTRANGE(""https://docs.google.com/spreadsheets/d/1eHaY18a8A9IcSdp1K8H6x8fbOy06t2VsZHhMHf-1x7Y/edit?usp=sharing"",""แผน!GD28"")"),60)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IFERROR(__xludf.DUMMYFUNCTION("IMPORTRANGE(""https://docs.google.com/spreadsheets/d/1eHaY18a8A9IcSdp1K8H6x8fbOy06t2VsZHhMHf-1x7Y/edit?usp=sharing"",""แผน!GE28"")"),6)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IFERROR(__xludf.DUMMYFUNCTION("IMPORTRANGE(""https://docs.google.com/spreadsheets/d/1eHaY18a8A9IcSdp1K8H6x8fbOy06t2VsZHhMHf-1x7Y/edit?usp=sharing"",""แผน!GF28"")"),1)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IFERROR(__xludf.DUMMYFUNCTION("IMPORTRANGE(""https://docs.google.com/spreadsheets/d/1eHaY18a8A9IcSdp1K8H6x8fbOy06t2VsZHhMHf-1x7Y/edit?usp=sharing"",""แผน!GB28"")"),240)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240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IFERROR(__xludf.DUMMYFUNCTION("IMPORTRANGE(""https://docs.google.com/spreadsheets/d/1eHaY18a8A9IcSdp1K8H6x8fbOy06t2VsZHhMHf-1x7Y/edit?usp=sharing"",""แผน!GD28"")"),60)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60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1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146</v>
      </c>
      <c r="J758" s="552">
        <f>J772</f>
        <v>146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509</v>
      </c>
      <c r="J759" s="552">
        <f>J774</f>
        <v>509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1018160</v>
      </c>
      <c r="R760" s="547">
        <f ca="1">R761+R762</f>
        <v>1018160</v>
      </c>
      <c r="S760" s="547">
        <f ca="1">S761+S762</f>
        <v>467645</v>
      </c>
      <c r="T760" s="547">
        <f ca="1">IF(Q760&gt;0,S760*100/Q760,0)</f>
        <v>45.930403865797125</v>
      </c>
      <c r="U760" s="547">
        <f ca="1">IF(R760&gt;0,S760*100/R760,0)</f>
        <v>45.930403865797125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1018160</v>
      </c>
      <c r="R762" s="224">
        <f ca="1">R765+R768</f>
        <v>1018160</v>
      </c>
      <c r="S762" s="224">
        <f ca="1">S765+S768</f>
        <v>467645</v>
      </c>
      <c r="T762" s="224">
        <f ca="1">IF(Q762&gt;0,S762*100/Q762,0)</f>
        <v>45.930403865797125</v>
      </c>
      <c r="U762" s="224">
        <f ca="1">IF(R762&gt;0,S762*100/R762,0)</f>
        <v>45.930403865797125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1018160</v>
      </c>
      <c r="R763" s="224">
        <f ca="1">R764+R765</f>
        <v>1018160</v>
      </c>
      <c r="S763" s="224">
        <f ca="1">S764+S765</f>
        <v>467645</v>
      </c>
      <c r="T763" s="224">
        <f ca="1">IF(Q763&gt;0,S763*100/Q763,0)</f>
        <v>45.930403865797125</v>
      </c>
      <c r="U763" s="224">
        <f ca="1">IF(R763&gt;0,S763*100/R763,0)</f>
        <v>45.930403865797125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IFERROR(__xludf.DUMMYFUNCTION("IMPORTRANGE(""https://docs.google.com/spreadsheets/d/1ItG2mGa2ceCfYo0BwxsXqNm01IGEUdYcSSLTEv9YCik/edit?usp=sharing"",""เบิกจ่ายกองทุน!AA28"")"),1018160)</f>
        <v>1018160</v>
      </c>
      <c r="R765" s="224">
        <f ca="1">IFERROR(__xludf.DUMMYFUNCTION("IMPORTRANGE(""https://docs.google.com/spreadsheets/d/1ItG2mGa2ceCfYo0BwxsXqNm01IGEUdYcSSLTEv9YCik/edit?usp=sharing"",""เบิกจ่ายกองทุน!AB28"")"),1018160)</f>
        <v>1018160</v>
      </c>
      <c r="S765" s="224">
        <f ca="1">IFERROR(__xludf.DUMMYFUNCTION("IMPORTRANGE(""https://docs.google.com/spreadsheets/d/1ItG2mGa2ceCfYo0BwxsXqNm01IGEUdYcSSLTEv9YCik/edit?usp=sharing"",""เบิกจ่ายกองทุน!AC28"")"),467645)</f>
        <v>467645</v>
      </c>
      <c r="T765" s="224">
        <f ca="1">IF(Q765&gt;0,S765*100/Q765,0)</f>
        <v>45.930403865797125</v>
      </c>
      <c r="U765" s="224">
        <f ca="1">IF(R765&gt;0,S765*100/R765,0)</f>
        <v>45.930403865797125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IFERROR(__xludf.DUMMYFUNCTION("IMPORTRANGE(""https://docs.google.com/spreadsheets/d/1eHaY18a8A9IcSdp1K8H6x8fbOy06t2VsZHhMHf-1x7Y/edit?usp=sharing"",""แผน!FI28"")"),1)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IFERROR(__xludf.DUMMYFUNCTION("IMPORTRANGE(""https://docs.google.com/spreadsheets/d/1eHaY18a8A9IcSdp1K8H6x8fbOy06t2VsZHhMHf-1x7Y/edit?usp=sharing"",""แผน!FQ28"")"),146)</f>
        <v>146</v>
      </c>
      <c r="J772" s="380">
        <v>146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IFERROR(__xludf.DUMMYFUNCTION("IMPORTRANGE(""https://docs.google.com/spreadsheets/d/1eHaY18a8A9IcSdp1K8H6x8fbOy06t2VsZHhMHf-1x7Y/edit?usp=sharing"",""แผน!FR28"")"),509)</f>
        <v>509</v>
      </c>
      <c r="J774" s="380">
        <v>509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IFERROR(__xludf.DUMMYFUNCTION("IMPORTRANGE(""https://docs.google.com/spreadsheets/d/1eHaY18a8A9IcSdp1K8H6x8fbOy06t2VsZHhMHf-1x7Y/edit?usp=sharing"",""แผน!FS28"")"),509)</f>
        <v>509</v>
      </c>
      <c r="J775" s="380">
        <v>509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IFERROR(__xludf.DUMMYFUNCTION("IMPORTRANGE(""https://docs.google.com/spreadsheets/d/1eHaY18a8A9IcSdp1K8H6x8fbOy06t2VsZHhMHf-1x7Y/edit?usp=sharing"",""แผน!FT28"")"),146)</f>
        <v>146</v>
      </c>
      <c r="J776" s="542">
        <v>146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IFERROR(__xludf.DUMMYFUNCTION("IMPORTRANGE(""https://docs.google.com/spreadsheets/d/10OvvATaaLtwErnr3qtWFcTmtbfpFEt5Bsqel9sXx0uE/edit?usp=sharing"",""งานกองทุน!D28"")"),4007548.06)</f>
        <v>4007548.06</v>
      </c>
      <c r="J778" s="184">
        <f ca="1">IFERROR(__xludf.DUMMYFUNCTION("IMPORTRANGE(""https://docs.google.com/spreadsheets/d/10OvvATaaLtwErnr3qtWFcTmtbfpFEt5Bsqel9sXx0uE/edit?usp=sharing"",""งานกองทุน!F28"")"),2882213.83)</f>
        <v>2882213.83</v>
      </c>
      <c r="K778" s="224">
        <f ca="1">IF(I778&gt;0,J778*100/I778,0)</f>
        <v>71.919632325008223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IFERROR(__xludf.DUMMYFUNCTION("IMPORTRANGE(""https://docs.google.com/spreadsheets/d/10OvvATaaLtwErnr3qtWFcTmtbfpFEt5Bsqel9sXx0uE/edit?usp=sharing"",""งานกองทุน!C28"")"),285)</f>
        <v>285</v>
      </c>
      <c r="J779" s="184">
        <f ca="1">IFERROR(__xludf.DUMMYFUNCTION("IMPORTRANGE(""https://docs.google.com/spreadsheets/d/10OvvATaaLtwErnr3qtWFcTmtbfpFEt5Bsqel9sXx0uE/edit?usp=sharing"",""งานกองทุน!E28"")"),250)</f>
        <v>250</v>
      </c>
      <c r="K779" s="224">
        <f ca="1">IF(I779&gt;0,J779*100/I779,0)</f>
        <v>87.719298245614041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IFERROR(__xludf.DUMMYFUNCTION("IMPORTRANGE(""https://docs.google.com/spreadsheets/d/10OvvATaaLtwErnr3qtWFcTmtbfpFEt5Bsqel9sXx0uE/edit?usp=sharing"",""งานกองทุน!I28"")"),8048617.16)</f>
        <v>8048617.1600000001</v>
      </c>
      <c r="J780" s="184">
        <f ca="1">IFERROR(__xludf.DUMMYFUNCTION("IMPORTRANGE(""https://docs.google.com/spreadsheets/d/10OvvATaaLtwErnr3qtWFcTmtbfpFEt5Bsqel9sXx0uE/edit?usp=sharing"",""งานกองทุน!K28"")"),498585.5)</f>
        <v>498585.5</v>
      </c>
      <c r="K780" s="224">
        <f ca="1">IF(I780&gt;0,J780*100/I780,0)</f>
        <v>6.1946728250148251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IFERROR(__xludf.DUMMYFUNCTION("IMPORTRANGE(""https://docs.google.com/spreadsheets/d/10OvvATaaLtwErnr3qtWFcTmtbfpFEt5Bsqel9sXx0uE/edit?usp=sharing"",""งานกองทุน!H28"")"),213)</f>
        <v>213</v>
      </c>
      <c r="J781" s="184">
        <f ca="1">IFERROR(__xludf.DUMMYFUNCTION("IMPORTRANGE(""https://docs.google.com/spreadsheets/d/10OvvATaaLtwErnr3qtWFcTmtbfpFEt5Bsqel9sXx0uE/edit?usp=sharing"",""งานกองทุน!J28"")"),122)</f>
        <v>122</v>
      </c>
      <c r="K781" s="224">
        <f ca="1">IF(I781&gt;0,J781*100/I781,0)</f>
        <v>57.27699530516432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4">
        <f ca="1">IFERROR(__xludf.DUMMYFUNCTION("IMPORTRANGE(""https://docs.google.com/spreadsheets/d/10OvvATaaLtwErnr3qtWFcTmtbfpFEt5Bsqel9sXx0uE/edit?usp=sharing"",""งานกองทุน!P28"")"),1465754.89)</f>
        <v>1465754.89</v>
      </c>
      <c r="K782" s="224">
        <f ca="1">IF(I782&gt;0,J782*100/I782,0)</f>
        <v>73.28896549416514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IFERROR(__xludf.DUMMYFUNCTION("IMPORTRANGE(""https://docs.google.com/spreadsheets/d/10OvvATaaLtwErnr3qtWFcTmtbfpFEt5Bsqel9sXx0uE/edit?usp=sharing"",""งานกองทุน!M28"")"),170)</f>
        <v>170</v>
      </c>
      <c r="J783" s="184">
        <f ca="1">IFERROR(__xludf.DUMMYFUNCTION("IMPORTRANGE(""https://docs.google.com/spreadsheets/d/10OvvATaaLtwErnr3qtWFcTmtbfpFEt5Bsqel9sXx0uE/edit?usp=sharing"",""งานกองทุน!O28"")"),93)</f>
        <v>93</v>
      </c>
      <c r="K783" s="224">
        <f ca="1">IF(I783&gt;0,J783*100/I783,0)</f>
        <v>54.705882352941174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IFERROR(__xludf.DUMMYFUNCTION("IMPORTRANGE(""https://docs.google.com/spreadsheets/d/10OvvATaaLtwErnr3qtWFcTmtbfpFEt5Bsqel9sXx0uE/edit?usp=sharing"",""งานกองทุน!S28"")"),6440000)</f>
        <v>6440000</v>
      </c>
      <c r="J784" s="184">
        <f ca="1">IFERROR(__xludf.DUMMYFUNCTION("IMPORTRANGE(""https://docs.google.com/spreadsheets/d/10OvvATaaLtwErnr3qtWFcTmtbfpFEt5Bsqel9sXx0uE/edit?usp=sharing"",""งานกองทุน!U28"")"),5760000)</f>
        <v>5760000</v>
      </c>
      <c r="K784" s="224">
        <f ca="1">IF(I784&gt;0,J784*100/I784,0)</f>
        <v>89.440993788819881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IFERROR(__xludf.DUMMYFUNCTION("IMPORTRANGE(""https://docs.google.com/spreadsheets/d/10OvvATaaLtwErnr3qtWFcTmtbfpFEt5Bsqel9sXx0uE/edit?usp=sharing"",""งานกองทุน!R28"")"),230)</f>
        <v>230</v>
      </c>
      <c r="J785" s="188">
        <f ca="1">IFERROR(__xludf.DUMMYFUNCTION("IMPORTRANGE(""https://docs.google.com/spreadsheets/d/10OvvATaaLtwErnr3qtWFcTmtbfpFEt5Bsqel9sXx0uE/edit?usp=sharing"",""งานกองทุน!T28"")"),128)</f>
        <v>128</v>
      </c>
      <c r="K785" s="508">
        <f ca="1">IF(I785&gt;0,J785*100/I785,0)</f>
        <v>55.652173913043477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004DD-EE26-46FC-9CFE-DF3417F9F4EF}">
  <sheetPr>
    <outlinePr summaryBelow="0" summaryRight="0"/>
    <pageSetUpPr fitToPage="1"/>
  </sheetPr>
  <dimension ref="A1:U789"/>
  <sheetViews>
    <sheetView tabSelected="1"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344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4581612</v>
      </c>
      <c r="M18" s="755">
        <f ca="1">M19+M20</f>
        <v>4512120</v>
      </c>
      <c r="N18" s="755">
        <f ca="1">N19+N20</f>
        <v>4163003.26</v>
      </c>
      <c r="O18" s="755">
        <f ca="1">IF(L18&gt;0,N18*100/L18,0)</f>
        <v>90.863286982834865</v>
      </c>
      <c r="P18" s="755">
        <f ca="1">IF(M18&gt;0,N18*100/M18,0)</f>
        <v>92.262689378828583</v>
      </c>
      <c r="Q18" s="755">
        <f ca="1">Q19+Q20</f>
        <v>2508714.2400000002</v>
      </c>
      <c r="R18" s="755">
        <f ca="1">R19+R20</f>
        <v>2476484</v>
      </c>
      <c r="S18" s="755">
        <f ca="1">S19+S20</f>
        <v>1115958.5</v>
      </c>
      <c r="T18" s="755">
        <f ca="1">IF(Q18&gt;0,S18*100/Q18,0)</f>
        <v>44.483284792133198</v>
      </c>
      <c r="U18" s="755">
        <f ca="1">IF(R18&gt;0,S18*100/R18,0)</f>
        <v>45.062213202265795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4581612</v>
      </c>
      <c r="M20" s="794">
        <f ca="1">M23+M26</f>
        <v>4512120</v>
      </c>
      <c r="N20" s="794">
        <f ca="1">N23+N26</f>
        <v>4163003.26</v>
      </c>
      <c r="O20" s="794">
        <f ca="1">IF(L20&gt;0,N20*100/L20,0)</f>
        <v>90.863286982834865</v>
      </c>
      <c r="P20" s="794">
        <f ca="1">IF(M20&gt;0,N20*100/M20,0)</f>
        <v>92.262689378828583</v>
      </c>
      <c r="Q20" s="794">
        <f ca="1">Q23+Q26</f>
        <v>2508714.2400000002</v>
      </c>
      <c r="R20" s="794">
        <f ca="1">R23+R26</f>
        <v>2476484</v>
      </c>
      <c r="S20" s="794">
        <f ca="1">S23+S26</f>
        <v>1115958.5</v>
      </c>
      <c r="T20" s="794">
        <f ca="1">IF(Q20&gt;0,S20*100/Q20,0)</f>
        <v>44.483284792133198</v>
      </c>
      <c r="U20" s="794">
        <f ca="1">IF(R20&gt;0,S20*100/R20,0)</f>
        <v>45.062213202265795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2897012</v>
      </c>
      <c r="M21" s="224">
        <f ca="1">M22+M23</f>
        <v>3228120</v>
      </c>
      <c r="N21" s="224">
        <f ca="1">N22+N23</f>
        <v>2879003.26</v>
      </c>
      <c r="O21" s="224">
        <f ca="1">IF(L21&gt;0,N21*100/L21,0)</f>
        <v>99.378368470686354</v>
      </c>
      <c r="P21" s="224">
        <f ca="1">IF(M21&gt;0,N21*100/M21,0)</f>
        <v>89.185137479399771</v>
      </c>
      <c r="Q21" s="224">
        <f ca="1">Q22+Q23</f>
        <v>2378714.2400000002</v>
      </c>
      <c r="R21" s="224">
        <f ca="1">R22+R23</f>
        <v>2346484</v>
      </c>
      <c r="S21" s="224">
        <f ca="1">S22+S23</f>
        <v>1115958.5</v>
      </c>
      <c r="T21" s="224">
        <f ca="1">IF(Q21&gt;0,S21*100/Q21,0)</f>
        <v>46.914357396708567</v>
      </c>
      <c r="U21" s="224">
        <f ca="1">IF(R21&gt;0,S21*100/R21,0)</f>
        <v>47.558751732379172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2897012</v>
      </c>
      <c r="M23" s="224">
        <f ca="1">M49+M64+M77+M99+M122+M144+M162+M191+M178+M271+M287+M308+M325+M338+M361+M380+M418+M498+M518+M539+M560+M581+M604+M621+M647+M695+M719+M733+M765</f>
        <v>3228120</v>
      </c>
      <c r="N23" s="224">
        <f ca="1">N49+N64+N77+N99+N122+N144+N162+N191+N178+N271+N287+N308+N325+N338+N361+N380+N418+N498+N518+N539+N560+N581+N604+N621+N647+N695+N719+N733+N765</f>
        <v>2879003.26</v>
      </c>
      <c r="O23" s="224">
        <f ca="1">IF(L23&gt;0,N23*100/L23,0)</f>
        <v>99.378368470686354</v>
      </c>
      <c r="P23" s="224">
        <f ca="1">IF(M23&gt;0,N23*100/M23,0)</f>
        <v>89.185137479399771</v>
      </c>
      <c r="Q23" s="224">
        <f ca="1">Q77+Q99+Q122+Q144+Q162+Q178+Q191+Q271+Q287+Q308+Q338+Q380+Q397+Q418+Q498+Q604+Q621+Q647+Q695+Q719+Q733+Q765</f>
        <v>2378714.2400000002</v>
      </c>
      <c r="R23" s="224">
        <f ca="1">R77+R99+R122+R144+R162+R178+R191+R271+R287+R308+R338+R380+R397+R418+R498+R604+R621+R647+R695+R719+R733+R765</f>
        <v>2346484</v>
      </c>
      <c r="S23" s="224">
        <f ca="1">S77+S99+S122+S144+S162+S178+S191+S271+S287+S308+S338+S380+S397+S418+S498+S604+S621+S647+S695+S719+S733+S765</f>
        <v>1115958.5</v>
      </c>
      <c r="T23" s="224">
        <f ca="1">IF(Q23&gt;0,S23*100/Q23,0)</f>
        <v>46.914357396708567</v>
      </c>
      <c r="U23" s="224">
        <f ca="1">IF(R23&gt;0,S23*100/R23,0)</f>
        <v>47.558751732379172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1684600</v>
      </c>
      <c r="M24" s="224">
        <f ca="1">M25+M26</f>
        <v>1284000</v>
      </c>
      <c r="N24" s="224">
        <f ca="1">N25+N26</f>
        <v>1284000</v>
      </c>
      <c r="O24" s="224">
        <f ca="1">IF(L24&gt;0,N24*100/L24,0)</f>
        <v>76.219874154101859</v>
      </c>
      <c r="P24" s="224">
        <f ca="1">IF(M24&gt;0,N24*100/M24,0)</f>
        <v>100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1684600</v>
      </c>
      <c r="M26" s="224">
        <f ca="1">M52+M67+M80+M102+M125+M147+M165+M194+M181+M274+M290+M311+M328+M341+M364+M383+M421+M501+M521+M542+M563+M584+M607+M624+M650+M698+M722+M736+M768</f>
        <v>1284000</v>
      </c>
      <c r="N26" s="224">
        <f ca="1">N52+N67+N80+N102+N125+N147+N165+N194+N181+N274+N290+N311+N328+N341+N364+N383+N421+N501+N521+N542+N563+N584+N607+N624+N650+N698+N722+N736+N768</f>
        <v>1284000</v>
      </c>
      <c r="O26" s="224">
        <f ca="1">IF(L26&gt;0,N26*100/L26,0)</f>
        <v>76.219874154101859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4504310</v>
      </c>
      <c r="M40" s="790">
        <f ca="1">M44+M59+M72+M94+M125+M139+M157+M173+M186+M266+M282+M303+M320+M333+M356</f>
        <v>4434818</v>
      </c>
      <c r="N40" s="790">
        <f ca="1">N44+N59+N72+N94+N125+N139+N157+N173+N186+N266+N282+N303+N320+N333+N356</f>
        <v>4101706.26</v>
      </c>
      <c r="O40" s="790">
        <f ca="1">IF(L40&gt;0,N40*100/L40,0)</f>
        <v>91.061811020999883</v>
      </c>
      <c r="P40" s="790">
        <f ca="1">IF(M40&gt;0,N40*100/M40,0)</f>
        <v>92.488716786122907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507400</v>
      </c>
      <c r="M44" s="784">
        <f ca="1">M45+M46</f>
        <v>596032</v>
      </c>
      <c r="N44" s="784">
        <f ca="1">N45+N46</f>
        <v>552782</v>
      </c>
      <c r="O44" s="784">
        <f ca="1">IF(L44&gt;0,N44*100/L44,0)</f>
        <v>108.94402837997634</v>
      </c>
      <c r="P44" s="784">
        <f ca="1">IF(M44&gt;0,N44*100/M44,0)</f>
        <v>92.743678191774933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507400</v>
      </c>
      <c r="M46" s="778">
        <f ca="1">M49+M52</f>
        <v>596032</v>
      </c>
      <c r="N46" s="778">
        <f ca="1">N49+N52</f>
        <v>552782</v>
      </c>
      <c r="O46" s="778">
        <f ca="1">IF(L46&gt;0,N46*100/L46,0)</f>
        <v>108.94402837997634</v>
      </c>
      <c r="P46" s="778">
        <f ca="1">IF(M46&gt;0,N46*100/M46,0)</f>
        <v>92.743678191774933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507400</v>
      </c>
      <c r="M47" s="224">
        <f ca="1">M48+M49</f>
        <v>596032</v>
      </c>
      <c r="N47" s="224">
        <f ca="1">N48+N49</f>
        <v>552782</v>
      </c>
      <c r="O47" s="224">
        <f ca="1">IF(L47&gt;0,N47*100/L47,0)</f>
        <v>108.94402837997634</v>
      </c>
      <c r="P47" s="224">
        <f ca="1">IF(M47&gt;0,N47*100/M47,0)</f>
        <v>92.743678191774933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IFERROR(__xludf.DUMMYFUNCTION("IMPORTRANGE(""https://docs.google.com/spreadsheets/d/1-uDff_7J0KD5mKrp0Vvzr7lt3OU09vwQwhkpOPPYv2Y/edit?usp=sharing"",""งบพรบ!P29"")"),507400)</f>
        <v>507400</v>
      </c>
      <c r="M49" s="224">
        <f ca="1">IFERROR(__xludf.DUMMYFUNCTION("IMPORTRANGE(""https://docs.google.com/spreadsheets/d/1-uDff_7J0KD5mKrp0Vvzr7lt3OU09vwQwhkpOPPYv2Y/edit?usp=sharing"",""งบพรบ!V29"")"),596032)</f>
        <v>596032</v>
      </c>
      <c r="N49" s="224">
        <f ca="1">IFERROR(__xludf.DUMMYFUNCTION("IMPORTRANGE(""https://docs.google.com/spreadsheets/d/1-uDff_7J0KD5mKrp0Vvzr7lt3OU09vwQwhkpOPPYv2Y/edit?usp=sharing"",""งบพรบ!Y29"")"),552782)</f>
        <v>552782</v>
      </c>
      <c r="O49" s="224">
        <f ca="1">IF(L49&gt;0,N49*100/L49,0)</f>
        <v>108.94402837997634</v>
      </c>
      <c r="P49" s="224">
        <f ca="1">IF(M49&gt;0,N49*100/M49,0)</f>
        <v>92.743678191774933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IFERROR(__xludf.DUMMYFUNCTION("IMPORTRANGE(""https://docs.google.com/spreadsheets/d/1-uDff_7J0KD5mKrp0Vvzr7lt3OU09vwQwhkpOPPYv2Y/edit?usp=sharing"",""งบพรบ!S29"")"),0)</f>
        <v>0</v>
      </c>
      <c r="M52" s="224">
        <f ca="1">IFERROR(__xludf.DUMMYFUNCTION("IMPORTRANGE(""https://docs.google.com/spreadsheets/d/1-uDff_7J0KD5mKrp0Vvzr7lt3OU09vwQwhkpOPPYv2Y/edit?usp=sharing"",""งบพรบ!W29"")"),0)</f>
        <v>0</v>
      </c>
      <c r="N52" s="224">
        <f ca="1">IFERROR(__xludf.DUMMYFUNCTION("IMPORTRANGE(""https://docs.google.com/spreadsheets/d/1-uDff_7J0KD5mKrp0Vvzr7lt3OU09vwQwhkpOPPYv2Y/edit?usp=sharing"",""งบพรบ!Z29"")"),0)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2429600</v>
      </c>
      <c r="M59" s="772">
        <f ca="1">M60+M61</f>
        <v>2030500</v>
      </c>
      <c r="N59" s="772">
        <f ca="1">N60+N61</f>
        <v>2007954.98</v>
      </c>
      <c r="O59" s="772">
        <f ca="1">IF(L59&gt;0,N59*100/L59,0)</f>
        <v>82.645496378004609</v>
      </c>
      <c r="P59" s="772">
        <f ca="1">IF(M59&gt;0,N59*100/M59,0)</f>
        <v>98.889681359271123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2429600</v>
      </c>
      <c r="M61" s="766">
        <f ca="1">M64+M67</f>
        <v>2030500</v>
      </c>
      <c r="N61" s="766">
        <f ca="1">N64+N67</f>
        <v>2007954.98</v>
      </c>
      <c r="O61" s="766">
        <f ca="1">IF(L61&gt;0,N61*100/L61,0)</f>
        <v>82.645496378004609</v>
      </c>
      <c r="P61" s="766">
        <f ca="1">IF(M61&gt;0,N61*100/M61,0)</f>
        <v>98.889681359271123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745000</v>
      </c>
      <c r="M62" s="224">
        <f ca="1">M63+M64</f>
        <v>746500</v>
      </c>
      <c r="N62" s="224">
        <f ca="1">N63+N64</f>
        <v>723954.98</v>
      </c>
      <c r="O62" s="224">
        <f ca="1">IF(L62&gt;0,N62*100/L62,0)</f>
        <v>97.175165100671137</v>
      </c>
      <c r="P62" s="224">
        <f ca="1">IF(M62&gt;0,N62*100/M62,0)</f>
        <v>96.979903549899532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IFERROR(__xludf.DUMMYFUNCTION("IMPORTRANGE(""https://docs.google.com/spreadsheets/d/1-uDff_7J0KD5mKrp0Vvzr7lt3OU09vwQwhkpOPPYv2Y/edit?usp=sharing"",""งบพรบ!AC29"")"),745000)</f>
        <v>745000</v>
      </c>
      <c r="M64" s="224">
        <f ca="1">IFERROR(__xludf.DUMMYFUNCTION("IMPORTRANGE(""https://docs.google.com/spreadsheets/d/1-uDff_7J0KD5mKrp0Vvzr7lt3OU09vwQwhkpOPPYv2Y/edit?usp=sharing"",""งบพรบ!AH29"")"),746500)</f>
        <v>746500</v>
      </c>
      <c r="N64" s="224">
        <f ca="1">IFERROR(__xludf.DUMMYFUNCTION("IMPORTRANGE(""https://docs.google.com/spreadsheets/d/1-uDff_7J0KD5mKrp0Vvzr7lt3OU09vwQwhkpOPPYv2Y/edit?usp=sharing"",""งบพรบ!AJ29"")"),723954.98)</f>
        <v>723954.98</v>
      </c>
      <c r="O64" s="224">
        <f ca="1">IF(L64&gt;0,N64*100/L64,0)</f>
        <v>97.175165100671137</v>
      </c>
      <c r="P64" s="224">
        <f ca="1">IF(M64&gt;0,N64*100/M64,0)</f>
        <v>96.979903549899532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1684600</v>
      </c>
      <c r="M65" s="224">
        <f ca="1">M66+M67</f>
        <v>1284000</v>
      </c>
      <c r="N65" s="224">
        <f ca="1">N66+N67</f>
        <v>1284000</v>
      </c>
      <c r="O65" s="224">
        <f ca="1">IF(L65&gt;0,N65*100/L65,0)</f>
        <v>76.219874154101859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IFERROR(__xludf.DUMMYFUNCTION("IMPORTRANGE(""https://docs.google.com/spreadsheets/d/1-uDff_7J0KD5mKrp0Vvzr7lt3OU09vwQwhkpOPPYv2Y/edit?usp=sharing"",""งบพรบ!AF29"")"),1684600)</f>
        <v>1684600</v>
      </c>
      <c r="M67" s="508">
        <f ca="1">IFERROR(__xludf.DUMMYFUNCTION("IMPORTRANGE(""https://docs.google.com/spreadsheets/d/1-uDff_7J0KD5mKrp0Vvzr7lt3OU09vwQwhkpOPPYv2Y/edit?usp=sharing"",""งบพรบ!AI29"")"),1284000)</f>
        <v>1284000</v>
      </c>
      <c r="N67" s="508">
        <f ca="1">IFERROR(__xludf.DUMMYFUNCTION("IMPORTRANGE(""https://docs.google.com/spreadsheets/d/1-uDff_7J0KD5mKrp0Vvzr7lt3OU09vwQwhkpOPPYv2Y/edit?usp=sharing"",""งบพรบ!AK29"")"),1284000)</f>
        <v>1284000</v>
      </c>
      <c r="O67" s="508">
        <f ca="1">IF(L67&gt;0,N67*100/L67,0)</f>
        <v>76.219874154101859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IFERROR(__xludf.DUMMYFUNCTION("IMPORTRANGE(""https://docs.google.com/spreadsheets/d/1-uDff_7J0KD5mKrp0Vvzr7lt3OU09vwQwhkpOPPYv2Y/edit?usp=sharing"",""งบพรบ!AM29"")"),0)</f>
        <v>0</v>
      </c>
      <c r="M77" s="224">
        <f ca="1">IFERROR(__xludf.DUMMYFUNCTION("IMPORTRANGE(""https://docs.google.com/spreadsheets/d/1-uDff_7J0KD5mKrp0Vvzr7lt3OU09vwQwhkpOPPYv2Y/edit?usp=sharing"",""งบพรบ!AR29"")"),0)</f>
        <v>0</v>
      </c>
      <c r="N77" s="224">
        <f ca="1">IFERROR(__xludf.DUMMYFUNCTION("IMPORTRANGE(""https://docs.google.com/spreadsheets/d/1-uDff_7J0KD5mKrp0Vvzr7lt3OU09vwQwhkpOPPYv2Y/edit?usp=sharing"",""งบพรบ!AT29"")"),0)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IFERROR(__xludf.DUMMYFUNCTION("IMPORTRANGE(""https://docs.google.com/spreadsheets/d/1ItG2mGa2ceCfYo0BwxsXqNm01IGEUdYcSSLTEv9YCik/edit?usp=sharing"",""เบิกจ่ายกองทุน!BH29"")"),0)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IFERROR(__xludf.DUMMYFUNCTION("IMPORTRANGE(""https://docs.google.com/spreadsheets/d/1ItG2mGa2ceCfYo0BwxsXqNm01IGEUdYcSSLTEv9YCik/edit?usp=sharing"",""เบิกจ่ายกองทุน!BI29"")"),0)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IFERROR(__xludf.DUMMYFUNCTION("IMPORTRANGE(""https://docs.google.com/spreadsheets/d/1ItG2mGa2ceCfYo0BwxsXqNm01IGEUdYcSSLTEv9YCik/edit?usp=sharing"",""เบิกจ่ายกองทุน!BJ29"")"),0)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IFERROR(__xludf.DUMMYFUNCTION("IMPORTRANGE(""https://docs.google.com/spreadsheets/d/1-uDff_7J0KD5mKrp0Vvzr7lt3OU09vwQwhkpOPPYv2Y/edit?usp=sharing"",""งบพรบ!AP29"")"),0)</f>
        <v>0</v>
      </c>
      <c r="M80" s="224">
        <f ca="1">IFERROR(__xludf.DUMMYFUNCTION("IMPORTRANGE(""https://docs.google.com/spreadsheets/d/1-uDff_7J0KD5mKrp0Vvzr7lt3OU09vwQwhkpOPPYv2Y/edit?usp=sharing"",""งบพรบ!AS29"")"),0)</f>
        <v>0</v>
      </c>
      <c r="N80" s="224">
        <f ca="1">IFERROR(__xludf.DUMMYFUNCTION("IMPORTRANGE(""https://docs.google.com/spreadsheets/d/1-uDff_7J0KD5mKrp0Vvzr7lt3OU09vwQwhkpOPPYv2Y/edit?usp=sharing"",""งบพรบ!AU29"")"),0)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IFERROR(__xludf.DUMMYFUNCTION("IMPORTRANGE(""https://docs.google.com/spreadsheets/d/1ItG2mGa2ceCfYo0BwxsXqNm01IGEUdYcSSLTEv9YCik/edit?usp=sharing"",""เบิกจ่ายกองทุน!BK29"")"),0)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IFERROR(__xludf.DUMMYFUNCTION("IMPORTRANGE(""https://docs.google.com/spreadsheets/d/1ItG2mGa2ceCfYo0BwxsXqNm01IGEUdYcSSLTEv9YCik/edit?usp=sharing"",""เบิกจ่ายกองทุน!BL29"")"),0)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IFERROR(__xludf.DUMMYFUNCTION("IMPORTRANGE(""https://docs.google.com/spreadsheets/d/1ItG2mGa2ceCfYo0BwxsXqNm01IGEUdYcSSLTEv9YCik/edit?usp=sharing"",""เบิกจ่ายกองทุน!BM29"")"),0)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IFERROR(__xludf.DUMMYFUNCTION("IMPORTRANGE(""https://docs.google.com/spreadsheets/d/1eHaY18a8A9IcSdp1K8H6x8fbOy06t2VsZHhMHf-1x7Y/edit?usp=sharing"",""แผน!H29"")"),0)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IFERROR(__xludf.DUMMYFUNCTION("IMPORTRANGE(""https://docs.google.com/spreadsheets/d/1eHaY18a8A9IcSdp1K8H6x8fbOy06t2VsZHhMHf-1x7Y/edit?usp=sharing"",""แผน!I29"")"),0)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IFERROR(__xludf.DUMMYFUNCTION("IMPORTRANGE(""https://docs.google.com/spreadsheets/d/1eHaY18a8A9IcSdp1K8H6x8fbOy06t2VsZHhMHf-1x7Y/edit?usp=sharing"",""แผน!F29"")"),0)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IFERROR(__xludf.DUMMYFUNCTION("IMPORTRANGE(""https://docs.google.com/spreadsheets/d/1eHaY18a8A9IcSdp1K8H6x8fbOy06t2VsZHhMHf-1x7Y/edit?usp=sharing"",""แผน!G29"")"),0)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IFERROR(__xludf.DUMMYFUNCTION("IMPORTRANGE(""https://docs.google.com/spreadsheets/d/1eHaY18a8A9IcSdp1K8H6x8fbOy06t2VsZHhMHf-1x7Y/edit?usp=sharing"",""แผน!D29"")"),0)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IFERROR(__xludf.DUMMYFUNCTION("IMPORTRANGE(""https://docs.google.com/spreadsheets/d/1eHaY18a8A9IcSdp1K8H6x8fbOy06t2VsZHhMHf-1x7Y/edit?usp=sharing"",""แผน!E29"")"),0)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IFERROR(__xludf.DUMMYFUNCTION("IMPORTRANGE(""https://docs.google.com/spreadsheets/d/1eHaY18a8A9IcSdp1K8H6x8fbOy06t2VsZHhMHf-1x7Y/edit?usp=sharing"",""แผน!J29"")"),0)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IFERROR(__xludf.DUMMYFUNCTION("IMPORTRANGE(""https://docs.google.com/spreadsheets/d/1-uDff_7J0KD5mKrp0Vvzr7lt3OU09vwQwhkpOPPYv2Y/edit?usp=sharing"",""งบพรบ!AW29"")"),0)</f>
        <v>0</v>
      </c>
      <c r="M99" s="224">
        <f ca="1">IFERROR(__xludf.DUMMYFUNCTION("IMPORTRANGE(""https://docs.google.com/spreadsheets/d/1-uDff_7J0KD5mKrp0Vvzr7lt3OU09vwQwhkpOPPYv2Y/edit?usp=sharing"",""งบพรบ!BB29"")"),0)</f>
        <v>0</v>
      </c>
      <c r="N99" s="224">
        <f ca="1">IFERROR(__xludf.DUMMYFUNCTION("IMPORTRANGE(""https://docs.google.com/spreadsheets/d/1-uDff_7J0KD5mKrp0Vvzr7lt3OU09vwQwhkpOPPYv2Y/edit?usp=sharing"",""งบพรบ!BD29"")"),0)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IFERROR(__xludf.DUMMYFUNCTION("IMPORTRANGE(""https://docs.google.com/spreadsheets/d/1ItG2mGa2ceCfYo0BwxsXqNm01IGEUdYcSSLTEv9YCik/edit?usp=sharing"",""เบิกจ่ายกองทุน!AJ29"")"),0)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IFERROR(__xludf.DUMMYFUNCTION("IMPORTRANGE(""https://docs.google.com/spreadsheets/d/1ItG2mGa2ceCfYo0BwxsXqNm01IGEUdYcSSLTEv9YCik/edit?usp=sharing"",""เบิกจ่ายกองทุน!AK29"")"),0)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IFERROR(__xludf.DUMMYFUNCTION("IMPORTRANGE(""https://docs.google.com/spreadsheets/d/1ItG2mGa2ceCfYo0BwxsXqNm01IGEUdYcSSLTEv9YCik/edit?usp=sharing"",""เบิกจ่ายกองทุน!AL29"")"),0)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IFERROR(__xludf.DUMMYFUNCTION("IMPORTRANGE(""https://docs.google.com/spreadsheets/d/1-uDff_7J0KD5mKrp0Vvzr7lt3OU09vwQwhkpOPPYv2Y/edit?usp=sharing"",""งบพรบ!AZ29"")"),0)</f>
        <v>0</v>
      </c>
      <c r="M102" s="224">
        <f ca="1">IFERROR(__xludf.DUMMYFUNCTION("IMPORTRANGE(""https://docs.google.com/spreadsheets/d/1-uDff_7J0KD5mKrp0Vvzr7lt3OU09vwQwhkpOPPYv2Y/edit?usp=sharing"",""งบพรบ!BC29"")"),0)</f>
        <v>0</v>
      </c>
      <c r="N102" s="224">
        <f ca="1">IFERROR(__xludf.DUMMYFUNCTION("IMPORTRANGE(""https://docs.google.com/spreadsheets/d/1-uDff_7J0KD5mKrp0Vvzr7lt3OU09vwQwhkpOPPYv2Y/edit?usp=sharing"",""งบพรบ!BE29"")"),0)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IFERROR(__xludf.DUMMYFUNCTION("IMPORTRANGE(""https://docs.google.com/spreadsheets/d/1eHaY18a8A9IcSdp1K8H6x8fbOy06t2VsZHhMHf-1x7Y/edit?usp=sharing"",""แผน!N29"")"),0)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IFERROR(__xludf.DUMMYFUNCTION("IMPORTRANGE(""https://docs.google.com/spreadsheets/d/1eHaY18a8A9IcSdp1K8H6x8fbOy06t2VsZHhMHf-1x7Y/edit?usp=sharing"",""แผน!O29"")"),0)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IFERROR(__xludf.DUMMYFUNCTION("IMPORTRANGE(""https://docs.google.com/spreadsheets/d/1eHaY18a8A9IcSdp1K8H6x8fbOy06t2VsZHhMHf-1x7Y/edit?usp=sharing"",""แผน!R29"")"),0)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25</v>
      </c>
      <c r="J116" s="756">
        <f>J127</f>
        <v>25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229220</v>
      </c>
      <c r="R117" s="547">
        <f ca="1">R118+R119</f>
        <v>229220</v>
      </c>
      <c r="S117" s="547">
        <f ca="1">S118+S119</f>
        <v>190847</v>
      </c>
      <c r="T117" s="547">
        <f ca="1">IF(Q117&gt;0,S117*100/Q117,0)</f>
        <v>83.25931419596894</v>
      </c>
      <c r="U117" s="547">
        <f ca="1">IF(R117&gt;0,S117*100/R117,0)</f>
        <v>83.25931419596894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229220</v>
      </c>
      <c r="R119" s="224">
        <f ca="1">R122+R125</f>
        <v>229220</v>
      </c>
      <c r="S119" s="224">
        <f ca="1">S122+S125</f>
        <v>190847</v>
      </c>
      <c r="T119" s="224">
        <f ca="1">IF(Q119&gt;0,S119*100/Q119,0)</f>
        <v>83.25931419596894</v>
      </c>
      <c r="U119" s="224">
        <f ca="1">IF(R119&gt;0,S119*100/R119,0)</f>
        <v>83.25931419596894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229220</v>
      </c>
      <c r="R120" s="224">
        <f ca="1">R121+R122</f>
        <v>229220</v>
      </c>
      <c r="S120" s="224">
        <f ca="1">S121+S122</f>
        <v>190847</v>
      </c>
      <c r="T120" s="224">
        <f ca="1">IF(Q120&gt;0,S120*100/Q120,0)</f>
        <v>83.25931419596894</v>
      </c>
      <c r="U120" s="224">
        <f ca="1">IF(R120&gt;0,S120*100/R120,0)</f>
        <v>83.25931419596894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IFERROR(__xludf.DUMMYFUNCTION("IMPORTRANGE(""https://docs.google.com/spreadsheets/d/1-uDff_7J0KD5mKrp0Vvzr7lt3OU09vwQwhkpOPPYv2Y/edit?usp=sharing"",""งบพรบ!BG29"")"),0)</f>
        <v>0</v>
      </c>
      <c r="M122" s="224">
        <f ca="1">IFERROR(__xludf.DUMMYFUNCTION("IMPORTRANGE(""https://docs.google.com/spreadsheets/d/1-uDff_7J0KD5mKrp0Vvzr7lt3OU09vwQwhkpOPPYv2Y/edit?usp=sharing"",""งบพรบ!BL29"")"),0)</f>
        <v>0</v>
      </c>
      <c r="N122" s="224">
        <f ca="1">IFERROR(__xludf.DUMMYFUNCTION("IMPORTRANGE(""https://docs.google.com/spreadsheets/d/1-uDff_7J0KD5mKrp0Vvzr7lt3OU09vwQwhkpOPPYv2Y/edit?usp=sharing"",""งบพรบ!BN29"")"),0)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IFERROR(__xludf.DUMMYFUNCTION("IMPORTRANGE(""https://docs.google.com/spreadsheets/d/1ItG2mGa2ceCfYo0BwxsXqNm01IGEUdYcSSLTEv9YCik/edit?usp=sharing"",""เบิกจ่ายกองทุน!U29"")"),229220)</f>
        <v>229220</v>
      </c>
      <c r="R122" s="224">
        <f ca="1">IFERROR(__xludf.DUMMYFUNCTION("IMPORTRANGE(""https://docs.google.com/spreadsheets/d/1ItG2mGa2ceCfYo0BwxsXqNm01IGEUdYcSSLTEv9YCik/edit?usp=sharing"",""เบิกจ่ายกองทุน!V29"")"),229220)</f>
        <v>229220</v>
      </c>
      <c r="S122" s="224">
        <f ca="1">IFERROR(__xludf.DUMMYFUNCTION("IMPORTRANGE(""https://docs.google.com/spreadsheets/d/1ItG2mGa2ceCfYo0BwxsXqNm01IGEUdYcSSLTEv9YCik/edit?usp=sharing"",""เบิกจ่ายกองทุน!W29"")"),190847)</f>
        <v>190847</v>
      </c>
      <c r="T122" s="224">
        <f ca="1">IF(Q122&gt;0,S122*100/Q122,0)</f>
        <v>83.25931419596894</v>
      </c>
      <c r="U122" s="224">
        <f ca="1">IF(R122&gt;0,S122*100/R122,0)</f>
        <v>83.25931419596894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IFERROR(__xludf.DUMMYFUNCTION("IMPORTRANGE(""https://docs.google.com/spreadsheets/d/1-uDff_7J0KD5mKrp0Vvzr7lt3OU09vwQwhkpOPPYv2Y/edit?usp=sharing"",""งบพรบ!BJ29"")"),0)</f>
        <v>0</v>
      </c>
      <c r="M125" s="224">
        <f ca="1">IFERROR(__xludf.DUMMYFUNCTION("IMPORTRANGE(""https://docs.google.com/spreadsheets/d/1-uDff_7J0KD5mKrp0Vvzr7lt3OU09vwQwhkpOPPYv2Y/edit?usp=sharing"",""งบพรบ!BM29"")"),0)</f>
        <v>0</v>
      </c>
      <c r="N125" s="224">
        <f ca="1">IFERROR(__xludf.DUMMYFUNCTION("IMPORTRANGE(""https://docs.google.com/spreadsheets/d/1-uDff_7J0KD5mKrp0Vvzr7lt3OU09vwQwhkpOPPYv2Y/edit?usp=sharing"",""งบพรบ!BO29"")"),0)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IFERROR(__xludf.DUMMYFUNCTION("IMPORTRANGE(""https://docs.google.com/spreadsheets/d/1ItG2mGa2ceCfYo0BwxsXqNm01IGEUdYcSSLTEv9YCik/edit?usp=sharing"",""เบิกจ่ายกองทุน!X29"")"),0)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IFERROR(__xludf.DUMMYFUNCTION("IMPORTRANGE(""https://docs.google.com/spreadsheets/d/1ItG2mGa2ceCfYo0BwxsXqNm01IGEUdYcSSLTEv9YCik/edit?usp=sharing"",""เบิกจ่ายกองทุน!Y29"")"),0)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IFERROR(__xludf.DUMMYFUNCTION("IMPORTRANGE(""https://docs.google.com/spreadsheets/d/1ItG2mGa2ceCfYo0BwxsXqNm01IGEUdYcSSLTEv9YCik/edit?usp=sharing"",""เบิกจ่ายกองทุน!Z29"")"),0)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IFERROR(__xludf.DUMMYFUNCTION("IMPORTRANGE(""https://docs.google.com/spreadsheets/d/1eHaY18a8A9IcSdp1K8H6x8fbOy06t2VsZHhMHf-1x7Y/edit?usp=sharing"",""แผน!FF29"")"),25)</f>
        <v>25</v>
      </c>
      <c r="J127" s="380">
        <v>25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IFERROR(__xludf.DUMMYFUNCTION("IMPORTRANGE(""https://docs.google.com/spreadsheets/d/1eHaY18a8A9IcSdp1K8H6x8fbOy06t2VsZHhMHf-1x7Y/edit?usp=sharing"",""แผน!FG29"")"),2)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IFERROR(__xludf.DUMMYFUNCTION("IMPORTRANGE(""https://docs.google.com/spreadsheets/d/1eHaY18a8A9IcSdp1K8H6x8fbOy06t2VsZHhMHf-1x7Y/edit?usp=sharing"",""แผน!FH29"")"),25)</f>
        <v>25</v>
      </c>
      <c r="J129" s="380">
        <v>25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IFERROR(__xludf.DUMMYFUNCTION("IMPORTRANGE(""https://docs.google.com/spreadsheets/d/1eHaY18a8A9IcSdp1K8H6x8fbOy06t2VsZHhMHf-1x7Y/edit?usp=sharing"",""แผน!FI29"")"),2)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136400</v>
      </c>
      <c r="M139" s="547">
        <f ca="1">M140+M141</f>
        <v>131400</v>
      </c>
      <c r="N139" s="547">
        <f ca="1">N140+N141</f>
        <v>114277.63</v>
      </c>
      <c r="O139" s="547">
        <f ca="1">IF(L139&gt;0,N139*100/L139,0)</f>
        <v>83.78125366568915</v>
      </c>
      <c r="P139" s="547">
        <f ca="1">IF(M139&gt;0,N139*100/M139,0)</f>
        <v>86.969277016742765</v>
      </c>
      <c r="Q139" s="547">
        <f ca="1">Q140+Q141</f>
        <v>174860</v>
      </c>
      <c r="R139" s="547">
        <f ca="1">R140+R141</f>
        <v>174860</v>
      </c>
      <c r="S139" s="547">
        <f ca="1">S140+S141</f>
        <v>26415</v>
      </c>
      <c r="T139" s="547">
        <f ca="1">IF(Q139&gt;0,S139*100/Q139,0)</f>
        <v>15.106370810934461</v>
      </c>
      <c r="U139" s="547">
        <f ca="1">IF(R139&gt;0,S139*100/R139,0)</f>
        <v>15.106370810934461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136400</v>
      </c>
      <c r="M141" s="224">
        <f ca="1">M144+M147</f>
        <v>131400</v>
      </c>
      <c r="N141" s="224">
        <f ca="1">N144+N147</f>
        <v>114277.63</v>
      </c>
      <c r="O141" s="224">
        <f ca="1">IF(L141&gt;0,N141*100/L141,0)</f>
        <v>83.78125366568915</v>
      </c>
      <c r="P141" s="224">
        <f ca="1">IF(M141&gt;0,N141*100/M141,0)</f>
        <v>86.969277016742765</v>
      </c>
      <c r="Q141" s="224">
        <f ca="1">Q144+Q147</f>
        <v>174860</v>
      </c>
      <c r="R141" s="224">
        <f ca="1">R144+R147</f>
        <v>174860</v>
      </c>
      <c r="S141" s="224">
        <f ca="1">S144+S147</f>
        <v>26415</v>
      </c>
      <c r="T141" s="224">
        <f ca="1">IF(Q141&gt;0,S141*100/Q141,0)</f>
        <v>15.106370810934461</v>
      </c>
      <c r="U141" s="224">
        <f ca="1">IF(R141&gt;0,S141*100/R141,0)</f>
        <v>15.106370810934461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136400</v>
      </c>
      <c r="M142" s="224">
        <f ca="1">M143+M144</f>
        <v>131400</v>
      </c>
      <c r="N142" s="224">
        <f ca="1">N143+N144</f>
        <v>114277.63</v>
      </c>
      <c r="O142" s="224">
        <f ca="1">IF(L142&gt;0,N142*100/L142,0)</f>
        <v>83.78125366568915</v>
      </c>
      <c r="P142" s="224">
        <f ca="1">IF(M142&gt;0,N142*100/M142,0)</f>
        <v>86.969277016742765</v>
      </c>
      <c r="Q142" s="224">
        <f ca="1">Q143+Q144</f>
        <v>44860</v>
      </c>
      <c r="R142" s="224">
        <f ca="1">R143+R144</f>
        <v>44860</v>
      </c>
      <c r="S142" s="224">
        <f ca="1">S143+S144</f>
        <v>26415</v>
      </c>
      <c r="T142" s="224">
        <f ca="1">IF(Q142&gt;0,S142*100/Q142,0)</f>
        <v>58.883192153366025</v>
      </c>
      <c r="U142" s="224">
        <f ca="1">IF(R142&gt;0,S142*100/R142,0)</f>
        <v>58.883192153366025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IFERROR(__xludf.DUMMYFUNCTION("IMPORTRANGE(""https://docs.google.com/spreadsheets/d/1-uDff_7J0KD5mKrp0Vvzr7lt3OU09vwQwhkpOPPYv2Y/edit?usp=sharing"",""งบพรบ!BQ29"")"),136400)</f>
        <v>136400</v>
      </c>
      <c r="M144" s="224">
        <f ca="1">IFERROR(__xludf.DUMMYFUNCTION("IMPORTRANGE(""https://docs.google.com/spreadsheets/d/1-uDff_7J0KD5mKrp0Vvzr7lt3OU09vwQwhkpOPPYv2Y/edit?usp=sharing"",""งบพรบ!BV29"")"),131400)</f>
        <v>131400</v>
      </c>
      <c r="N144" s="224">
        <f ca="1">IFERROR(__xludf.DUMMYFUNCTION("IMPORTRANGE(""https://docs.google.com/spreadsheets/d/1-uDff_7J0KD5mKrp0Vvzr7lt3OU09vwQwhkpOPPYv2Y/edit?usp=sharing"",""งบพรบ!BX29"")"),114277.63)</f>
        <v>114277.63</v>
      </c>
      <c r="O144" s="224">
        <f ca="1">IF(L144&gt;0,N144*100/L144,0)</f>
        <v>83.78125366568915</v>
      </c>
      <c r="P144" s="224">
        <f ca="1">IF(M144&gt;0,N144*100/M144,0)</f>
        <v>86.969277016742765</v>
      </c>
      <c r="Q144" s="224">
        <f ca="1">IFERROR(__xludf.DUMMYFUNCTION("IMPORTRANGE(""https://docs.google.com/spreadsheets/d/1ItG2mGa2ceCfYo0BwxsXqNm01IGEUdYcSSLTEv9YCik/edit?usp=sharing"",""เบิกจ่ายกองทุน!CF29"")"),44860)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IFERROR(__xludf.DUMMYFUNCTION("IMPORTRANGE(""https://docs.google.com/spreadsheets/d/1ItG2mGa2ceCfYo0BwxsXqNm01IGEUdYcSSLTEv9YCik/edit?usp=sharing"",""เบิกจ่ายกองทุน!CG29"")"),44860)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IFERROR(__xludf.DUMMYFUNCTION("IMPORTRANGE(""https://docs.google.com/spreadsheets/d/1ItG2mGa2ceCfYo0BwxsXqNm01IGEUdYcSSLTEv9YCik/edit?usp=sharing"",""เบิกจ่ายกองทุน!CH29"")"),26415)</f>
        <v>26415</v>
      </c>
      <c r="T144" s="224">
        <f ca="1">IF(Q144&gt;0,S144*100/Q144,0)</f>
        <v>58.883192153366025</v>
      </c>
      <c r="U144" s="224">
        <f ca="1">IF(R144&gt;0,S144*100/R144,0)</f>
        <v>58.883192153366025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IFERROR(__xludf.DUMMYFUNCTION("IMPORTRANGE(""https://docs.google.com/spreadsheets/d/1-uDff_7J0KD5mKrp0Vvzr7lt3OU09vwQwhkpOPPYv2Y/edit?usp=sharing"",""งบพรบ!BT29"")"),0)</f>
        <v>0</v>
      </c>
      <c r="M147" s="224">
        <f ca="1">IFERROR(__xludf.DUMMYFUNCTION("IMPORTRANGE(""https://docs.google.com/spreadsheets/d/1-uDff_7J0KD5mKrp0Vvzr7lt3OU09vwQwhkpOPPYv2Y/edit?usp=sharing"",""งบพรบ!BW29"")"),0)</f>
        <v>0</v>
      </c>
      <c r="N147" s="224">
        <f ca="1">IFERROR(__xludf.DUMMYFUNCTION("IMPORTRANGE(""https://docs.google.com/spreadsheets/d/1-uDff_7J0KD5mKrp0Vvzr7lt3OU09vwQwhkpOPPYv2Y/edit?usp=sharing"",""งบพรบ!BY29"")"),0)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IFERROR(__xludf.DUMMYFUNCTION("IMPORTRANGE(""https://docs.google.com/spreadsheets/d/1ItG2mGa2ceCfYo0BwxsXqNm01IGEUdYcSSLTEv9YCik/edit?usp=sharing"",""เบิกจ่ายกองทุน!CI29"")"),130000)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IFERROR(__xludf.DUMMYFUNCTION("IMPORTRANGE(""https://docs.google.com/spreadsheets/d/1ItG2mGa2ceCfYo0BwxsXqNm01IGEUdYcSSLTEv9YCik/edit?usp=sharing"",""เบิกจ่ายกองทุน!CJ29"")"),130000)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IFERROR(__xludf.DUMMYFUNCTION("IMPORTRANGE(""https://docs.google.com/spreadsheets/d/1ItG2mGa2ceCfYo0BwxsXqNm01IGEUdYcSSLTEv9YCik/edit?usp=sharing"",""เบิกจ่ายกองทุน!CK29"")"),0)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IFERROR(__xludf.DUMMYFUNCTION("IMPORTRANGE(""https://docs.google.com/spreadsheets/d/1eHaY18a8A9IcSdp1K8H6x8fbOy06t2VsZHhMHf-1x7Y/edit?usp=sharing"",""แผน!U29"")"),10)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IFERROR(__xludf.DUMMYFUNCTION("IMPORTRANGE(""https://docs.google.com/spreadsheets/d/1eHaY18a8A9IcSdp1K8H6x8fbOy06t2VsZHhMHf-1x7Y/edit?usp=sharing"",""แผน!V29"")"),1)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IFERROR(__xludf.DUMMYFUNCTION("IMPORTRANGE(""https://docs.google.com/spreadsheets/d/1eHaY18a8A9IcSdp1K8H6x8fbOy06t2VsZHhMHf-1x7Y/edit?usp=sharing"",""แผน!W29"")"),20)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IFERROR(__xludf.DUMMYFUNCTION("IMPORTRANGE(""https://docs.google.com/spreadsheets/d/1eHaY18a8A9IcSdp1K8H6x8fbOy06t2VsZHhMHf-1x7Y/edit?usp=sharing"",""แผน!X29"")"),2)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IFERROR(__xludf.DUMMYFUNCTION("IMPORTRANGE(""https://docs.google.com/spreadsheets/d/1eHaY18a8A9IcSdp1K8H6x8fbOy06t2VsZHhMHf-1x7Y/edit?usp=sharing"",""แผน!Y29"")"),1)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856</v>
      </c>
      <c r="N157" s="547">
        <f ca="1">N158+N159</f>
        <v>856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856</v>
      </c>
      <c r="N159" s="224">
        <f ca="1">N162+N165</f>
        <v>856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856</v>
      </c>
      <c r="N160" s="224">
        <f ca="1">N161+N162</f>
        <v>856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IFERROR(__xludf.DUMMYFUNCTION("IMPORTRANGE(""https://docs.google.com/spreadsheets/d/1-uDff_7J0KD5mKrp0Vvzr7lt3OU09vwQwhkpOPPYv2Y/edit?usp=sharing"",""งบพรบ!CA29"")"),0)</f>
        <v>0</v>
      </c>
      <c r="M162" s="224">
        <f ca="1">IFERROR(__xludf.DUMMYFUNCTION("IMPORTRANGE(""https://docs.google.com/spreadsheets/d/1-uDff_7J0KD5mKrp0Vvzr7lt3OU09vwQwhkpOPPYv2Y/edit?usp=sharing"",""งบพรบ!CF29"")"),856)</f>
        <v>856</v>
      </c>
      <c r="N162" s="224">
        <f ca="1">IFERROR(__xludf.DUMMYFUNCTION("IMPORTRANGE(""https://docs.google.com/spreadsheets/d/1-uDff_7J0KD5mKrp0Vvzr7lt3OU09vwQwhkpOPPYv2Y/edit?usp=sharing"",""งบพรบ!CH29"")"),856)</f>
        <v>856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IFERROR(__xludf.DUMMYFUNCTION("IMPORTRANGE(""https://docs.google.com/spreadsheets/d/1ItG2mGa2ceCfYo0BwxsXqNm01IGEUdYcSSLTEv9YCik/edit?usp=sharing"",""เบิกจ่ายกองทุน!AO29"")"),0)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IFERROR(__xludf.DUMMYFUNCTION("IMPORTRANGE(""https://docs.google.com/spreadsheets/d/1-uDff_7J0KD5mKrp0Vvzr7lt3OU09vwQwhkpOPPYv2Y/edit?usp=sharing"",""งบพรบ!CD29"")"),0)</f>
        <v>0</v>
      </c>
      <c r="M165" s="224">
        <f ca="1">IFERROR(__xludf.DUMMYFUNCTION("IMPORTRANGE(""https://docs.google.com/spreadsheets/d/1-uDff_7J0KD5mKrp0Vvzr7lt3OU09vwQwhkpOPPYv2Y/edit?usp=sharing"",""งบพรบ!CG29"")"),0)</f>
        <v>0</v>
      </c>
      <c r="N165" s="224">
        <f ca="1">IFERROR(__xludf.DUMMYFUNCTION("IMPORTRANGE(""https://docs.google.com/spreadsheets/d/1-uDff_7J0KD5mKrp0Vvzr7lt3OU09vwQwhkpOPPYv2Y/edit?usp=sharing"",""งบพรบ!CI29"")"),0)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IFERROR(__xludf.DUMMYFUNCTION("IMPORTRANGE(""https://docs.google.com/spreadsheets/d/1eHaY18a8A9IcSdp1K8H6x8fbOy06t2VsZHhMHf-1x7Y/edit?usp=sharing"",""แผน!Z29"")"),0)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IFERROR(__xludf.DUMMYFUNCTION("IMPORTRANGE(""https://docs.google.com/spreadsheets/d/1eHaY18a8A9IcSdp1K8H6x8fbOy06t2VsZHhMHf-1x7Y/edit?usp=sharing"",""แผน!Z29"")"),0)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IFERROR(__xludf.DUMMYFUNCTION("IMPORTRANGE(""https://docs.google.com/spreadsheets/d/1eHaY18a8A9IcSdp1K8H6x8fbOy06t2VsZHhMHf-1x7Y/edit?usp=sharing"",""แผน!Z29"")"),0)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85520</v>
      </c>
      <c r="N173" s="547">
        <f ca="1">N174+N175</f>
        <v>85520</v>
      </c>
      <c r="O173" s="547">
        <f ca="1">IF(L173&gt;0,N173*100/L173,0)</f>
        <v>436.54925982644204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85520</v>
      </c>
      <c r="N175" s="224">
        <f ca="1">N178+N181</f>
        <v>85520</v>
      </c>
      <c r="O175" s="224">
        <f ca="1">IF(L175&gt;0,N175*100/L175,0)</f>
        <v>436.54925982644204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85520</v>
      </c>
      <c r="N176" s="224">
        <f ca="1">N177+N178</f>
        <v>85520</v>
      </c>
      <c r="O176" s="224">
        <f ca="1">IF(L176&gt;0,N176*100/L176,0)</f>
        <v>436.54925982644204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IFERROR(__xludf.DUMMYFUNCTION("IMPORTRANGE(""https://docs.google.com/spreadsheets/d/1-uDff_7J0KD5mKrp0Vvzr7lt3OU09vwQwhkpOPPYv2Y/edit?usp=sharing"",""งบพรบ!CK29"")"),19590)</f>
        <v>19590</v>
      </c>
      <c r="M178" s="224">
        <f ca="1">IFERROR(__xludf.DUMMYFUNCTION("IMPORTRANGE(""https://docs.google.com/spreadsheets/d/1-uDff_7J0KD5mKrp0Vvzr7lt3OU09vwQwhkpOPPYv2Y/edit?usp=sharing"",""งบพรบ!CP29"")"),85520)</f>
        <v>85520</v>
      </c>
      <c r="N178" s="224">
        <f ca="1">IFERROR(__xludf.DUMMYFUNCTION("IMPORTRANGE(""https://docs.google.com/spreadsheets/d/1-uDff_7J0KD5mKrp0Vvzr7lt3OU09vwQwhkpOPPYv2Y/edit?usp=sharing"",""งบพรบ!CR29"")"),85520)</f>
        <v>85520</v>
      </c>
      <c r="O178" s="224">
        <f ca="1">IF(L178&gt;0,N178*100/L178,0)</f>
        <v>436.54925982644204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IFERROR(__xludf.DUMMYFUNCTION("IMPORTRANGE(""https://docs.google.com/spreadsheets/d/1ItG2mGa2ceCfYo0BwxsXqNm01IGEUdYcSSLTEv9YCik/edit?usp=sharing"",""เบิกจ่ายกองทุน!DG29"")"),0)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IFERROR(__xludf.DUMMYFUNCTION("IMPORTRANGE(""https://docs.google.com/spreadsheets/d/1ItG2mGa2ceCfYo0BwxsXqNm01IGEUdYcSSLTEv9YCik/edit?usp=sharing"",""เบิกจ่ายกองทุน!DH29"")"),0)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IFERROR(__xludf.DUMMYFUNCTION("IMPORTRANGE(""https://docs.google.com/spreadsheets/d/1ItG2mGa2ceCfYo0BwxsXqNm01IGEUdYcSSLTEv9YCik/edit?usp=sharing"",""เบิกจ่ายกองทุน!DI29"")"),0)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IFERROR(__xludf.DUMMYFUNCTION("IMPORTRANGE(""https://docs.google.com/spreadsheets/d/1-uDff_7J0KD5mKrp0Vvzr7lt3OU09vwQwhkpOPPYv2Y/edit?usp=sharing"",""งบพรบ!CN29"")"),0)</f>
        <v>0</v>
      </c>
      <c r="M181" s="224">
        <f ca="1">IFERROR(__xludf.DUMMYFUNCTION("IMPORTRANGE(""https://docs.google.com/spreadsheets/d/1-uDff_7J0KD5mKrp0Vvzr7lt3OU09vwQwhkpOPPYv2Y/edit?usp=sharing"",""งบพรบ!CQ29"")"),0)</f>
        <v>0</v>
      </c>
      <c r="N181" s="224">
        <f ca="1">IFERROR(__xludf.DUMMYFUNCTION("IMPORTRANGE(""https://docs.google.com/spreadsheets/d/1-uDff_7J0KD5mKrp0Vvzr7lt3OU09vwQwhkpOPPYv2Y/edit?usp=sharing"",""งบพรบ!CS29"")"),0)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IFERROR(__xludf.DUMMYFUNCTION("IMPORTRANGE(""https://docs.google.com/spreadsheets/d/1eHaY18a8A9IcSdp1K8H6x8fbOy06t2VsZHhMHf-1x7Y/edit?usp=sharing"",""แผน!AA29"")"),7)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131500</v>
      </c>
      <c r="N186" s="547">
        <f ca="1">N187+N188</f>
        <v>128079.05</v>
      </c>
      <c r="O186" s="547">
        <f ca="1">IF(L186&gt;0,N186*100/L186,0)</f>
        <v>98.902741312741313</v>
      </c>
      <c r="P186" s="547">
        <f ca="1">IF(M186&gt;0,N186*100/M186,0)</f>
        <v>97.398517110266155</v>
      </c>
      <c r="Q186" s="547">
        <f ca="1">Q187+Q188</f>
        <v>91700</v>
      </c>
      <c r="R186" s="547">
        <f ca="1">R187+R188</f>
        <v>55270</v>
      </c>
      <c r="S186" s="547">
        <f ca="1">S187+S188</f>
        <v>55270</v>
      </c>
      <c r="T186" s="547">
        <f ca="1">IF(Q186&gt;0,S186*100/Q186,0)</f>
        <v>60.272628135223556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131500</v>
      </c>
      <c r="N188" s="224">
        <f ca="1">N191+N194</f>
        <v>128079.05</v>
      </c>
      <c r="O188" s="224">
        <f ca="1">IF(L188&gt;0,N188*100/L188,0)</f>
        <v>98.902741312741313</v>
      </c>
      <c r="P188" s="224">
        <f ca="1">IF(M188&gt;0,N188*100/M188,0)</f>
        <v>97.398517110266155</v>
      </c>
      <c r="Q188" s="224">
        <f ca="1">Q191+Q194</f>
        <v>91700</v>
      </c>
      <c r="R188" s="224">
        <f ca="1">R191+R194</f>
        <v>55270</v>
      </c>
      <c r="S188" s="224">
        <f ca="1">S191+S194</f>
        <v>55270</v>
      </c>
      <c r="T188" s="224">
        <f ca="1">IF(Q188&gt;0,S188*100/Q188,0)</f>
        <v>60.272628135223556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131500</v>
      </c>
      <c r="N189" s="224">
        <f ca="1">N190+N191</f>
        <v>128079.05</v>
      </c>
      <c r="O189" s="224">
        <f ca="1">IF(L189&gt;0,N189*100/L189,0)</f>
        <v>98.902741312741313</v>
      </c>
      <c r="P189" s="224">
        <f ca="1">IF(M189&gt;0,N189*100/M189,0)</f>
        <v>97.398517110266155</v>
      </c>
      <c r="Q189" s="224">
        <f ca="1">Q190+Q191</f>
        <v>91700</v>
      </c>
      <c r="R189" s="224">
        <f ca="1">R190+R191</f>
        <v>55270</v>
      </c>
      <c r="S189" s="224">
        <f ca="1">S190+S191</f>
        <v>55270</v>
      </c>
      <c r="T189" s="224">
        <f ca="1">IF(Q189&gt;0,S189*100/Q189,0)</f>
        <v>60.272628135223556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IFERROR(__xludf.DUMMYFUNCTION("IMPORTRANGE(""https://docs.google.com/spreadsheets/d/1-uDff_7J0KD5mKrp0Vvzr7lt3OU09vwQwhkpOPPYv2Y/edit?usp=sharing"",""งบพรบ!CU29"")"),129500)</f>
        <v>129500</v>
      </c>
      <c r="M191" s="224">
        <f ca="1">IFERROR(__xludf.DUMMYFUNCTION("IMPORTRANGE(""https://docs.google.com/spreadsheets/d/1-uDff_7J0KD5mKrp0Vvzr7lt3OU09vwQwhkpOPPYv2Y/edit?usp=sharing"",""งบพรบ!CZ29"")"),131500)</f>
        <v>131500</v>
      </c>
      <c r="N191" s="224">
        <f ca="1">IFERROR(__xludf.DUMMYFUNCTION("IMPORTRANGE(""https://docs.google.com/spreadsheets/d/1-uDff_7J0KD5mKrp0Vvzr7lt3OU09vwQwhkpOPPYv2Y/edit?usp=sharing"",""งบพรบ!DB29"")"),128079.05)</f>
        <v>128079.05</v>
      </c>
      <c r="O191" s="224">
        <f ca="1">IF(L191&gt;0,N191*100/L191,0)</f>
        <v>98.902741312741313</v>
      </c>
      <c r="P191" s="224">
        <f ca="1">IF(M191&gt;0,N191*100/M191,0)</f>
        <v>97.398517110266155</v>
      </c>
      <c r="Q191" s="224">
        <f ca="1">IFERROR(__xludf.DUMMYFUNCTION("IMPORTRANGE(""https://docs.google.com/spreadsheets/d/1ItG2mGa2ceCfYo0BwxsXqNm01IGEUdYcSSLTEv9YCik/edit?usp=sharing"",""เบิกจ่ายกองทุน!BQ29"")"),91700)</f>
        <v>91700</v>
      </c>
      <c r="R191" s="224">
        <f ca="1">IFERROR(__xludf.DUMMYFUNCTION("IMPORTRANGE(""https://docs.google.com/spreadsheets/d/1ItG2mGa2ceCfYo0BwxsXqNm01IGEUdYcSSLTEv9YCik/edit?usp=sharing"",""เบิกจ่ายกองทุน!BR29"")"),55270)</f>
        <v>55270</v>
      </c>
      <c r="S191" s="224">
        <f ca="1">IFERROR(__xludf.DUMMYFUNCTION("IMPORTRANGE(""https://docs.google.com/spreadsheets/d/1ItG2mGa2ceCfYo0BwxsXqNm01IGEUdYcSSLTEv9YCik/edit?usp=sharing"",""เบิกจ่ายกองทุน!BS29"")"),55270)</f>
        <v>55270</v>
      </c>
      <c r="T191" s="224">
        <f ca="1">IF(Q191&gt;0,S191*100/Q191,0)</f>
        <v>60.272628135223556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IFERROR(__xludf.DUMMYFUNCTION("IMPORTRANGE(""https://docs.google.com/spreadsheets/d/1-uDff_7J0KD5mKrp0Vvzr7lt3OU09vwQwhkpOPPYv2Y/edit?usp=sharing"",""งบพรบ!CX29"")"),0)</f>
        <v>0</v>
      </c>
      <c r="M194" s="224">
        <f ca="1">IFERROR(__xludf.DUMMYFUNCTION("IMPORTRANGE(""https://docs.google.com/spreadsheets/d/1-uDff_7J0KD5mKrp0Vvzr7lt3OU09vwQwhkpOPPYv2Y/edit?usp=sharing"",""งบพรบ!DA29"")"),0)</f>
        <v>0</v>
      </c>
      <c r="N194" s="224">
        <f ca="1">IFERROR(__xludf.DUMMYFUNCTION("IMPORTRANGE(""https://docs.google.com/spreadsheets/d/1-uDff_7J0KD5mKrp0Vvzr7lt3OU09vwQwhkpOPPYv2Y/edit?usp=sharing"",""งบพรบ!DC29"")"),0)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IFERROR(__xludf.DUMMYFUNCTION("IMPORTRANGE(""https://docs.google.com/spreadsheets/d/1ItG2mGa2ceCfYo0BwxsXqNm01IGEUdYcSSLTEv9YCik/edit?usp=sharing"",""เบิกจ่ายกองทุน!BT29"")"),0)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IFERROR(__xludf.DUMMYFUNCTION("IMPORTRANGE(""https://docs.google.com/spreadsheets/d/1ItG2mGa2ceCfYo0BwxsXqNm01IGEUdYcSSLTEv9YCik/edit?usp=sharing"",""เบิกจ่ายกองทุน!BU29"")"),0)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IFERROR(__xludf.DUMMYFUNCTION("IMPORTRANGE(""https://docs.google.com/spreadsheets/d/1ItG2mGa2ceCfYo0BwxsXqNm01IGEUdYcSSLTEv9YCik/edit?usp=sharing"",""เบิกจ่ายกองทุน!BV29"")"),0)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IFERROR(__xludf.DUMMYFUNCTION("IMPORTRANGE(""https://docs.google.com/spreadsheets/d/1eHaY18a8A9IcSdp1K8H6x8fbOy06t2VsZHhMHf-1x7Y/edit?usp=sharing"",""แผน!AB29"")"),6000)</f>
        <v>6000</v>
      </c>
      <c r="M196" s="45"/>
      <c r="N196" s="749">
        <v>6599.05</v>
      </c>
      <c r="O196" s="547">
        <f ca="1">IF(L196&gt;0,N196*100/L196,0)</f>
        <v>109.98416666666667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IFERROR(__xludf.DUMMYFUNCTION("IMPORTRANGE(""https://docs.google.com/spreadsheets/d/1eHaY18a8A9IcSdp1K8H6x8fbOy06t2VsZHhMHf-1x7Y/edit?usp=sharing"",""แผน!AE29"")"),4)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91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91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13730</v>
      </c>
      <c r="O203" s="547">
        <f ca="1">IF(L203&gt;0,N203*100/L203,0)</f>
        <v>68.650000000000006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32160</v>
      </c>
      <c r="T203" s="747">
        <f ca="1">IF(Q203&gt;0,S203*100/Q203,0)</f>
        <v>76.571428571428569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IFERROR(__xludf.DUMMYFUNCTION("IMPORTRANGE(""https://docs.google.com/spreadsheets/d/1eHaY18a8A9IcSdp1K8H6x8fbOy06t2VsZHhMHf-1x7Y/edit?usp=sharing"",""แผน!AG29"")"),3000)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IFERROR(__xludf.DUMMYFUNCTION("IMPORTRANGE(""https://docs.google.com/spreadsheets/d/1eHaY18a8A9IcSdp1K8H6x8fbOy06t2VsZHhMHf-1x7Y/edit?usp=sharing"",""แผน!AH29"")"),0)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IFERROR(__xludf.DUMMYFUNCTION("IMPORTRANGE(""https://docs.google.com/spreadsheets/d/1eHaY18a8A9IcSdp1K8H6x8fbOy06t2VsZHhMHf-1x7Y/edit?usp=sharing"",""แผน!AI29"")"),0)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IFERROR(__xludf.DUMMYFUNCTION("IMPORTRANGE(""https://docs.google.com/spreadsheets/d/1eHaY18a8A9IcSdp1K8H6x8fbOy06t2VsZHhMHf-1x7Y/edit?usp=sharing"",""แผน!LV29"")"),42000)</f>
        <v>42000</v>
      </c>
      <c r="R206" s="45"/>
      <c r="S206" s="737">
        <v>32160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IFERROR(__xludf.DUMMYFUNCTION("IMPORTRANGE(""https://docs.google.com/spreadsheets/d/1eHaY18a8A9IcSdp1K8H6x8fbOy06t2VsZHhMHf-1x7Y/edit?usp=sharing"",""แผน!AJ29"")"),17000)</f>
        <v>17000</v>
      </c>
      <c r="M207" s="45"/>
      <c r="N207" s="737">
        <v>10730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IFERROR(__xludf.DUMMYFUNCTION("IMPORTRANGE(""https://docs.google.com/spreadsheets/d/1eHaY18a8A9IcSdp1K8H6x8fbOy06t2VsZHhMHf-1x7Y/edit?usp=sharing"",""แผน!AK29"")"),3)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IFERROR(__xludf.DUMMYFUNCTION("IMPORTRANGE(""https://docs.google.com/spreadsheets/d/1eHaY18a8A9IcSdp1K8H6x8fbOy06t2VsZHhMHf-1x7Y/edit?usp=sharing"",""แผน!JX29"")"),3)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IFERROR(__xludf.DUMMYFUNCTION("IMPORTRANGE(""https://docs.google.com/spreadsheets/d/1eHaY18a8A9IcSdp1K8H6x8fbOy06t2VsZHhMHf-1x7Y/edit?usp=sharing"",""แผน!JY29"")"),1)</f>
        <v>1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1</v>
      </c>
      <c r="J213" s="302">
        <f>J220</f>
        <v>1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6000</v>
      </c>
      <c r="M214" s="45"/>
      <c r="N214" s="547">
        <f>N215+N216+N217</f>
        <v>6000</v>
      </c>
      <c r="O214" s="547">
        <f ca="1">IF(L214&gt;0,N214*100/L214,0)</f>
        <v>100</v>
      </c>
      <c r="P214" s="547">
        <f>IF(M214&gt;0,N214*100/M214,0)</f>
        <v>0</v>
      </c>
      <c r="Q214" s="548">
        <f ca="1">Q215+Q216+Q217</f>
        <v>49700</v>
      </c>
      <c r="R214" s="45"/>
      <c r="S214" s="547">
        <f>S215+S216+S217</f>
        <v>26920</v>
      </c>
      <c r="T214" s="547">
        <f ca="1">IF(Q214&gt;0,S214*100/Q214,0)</f>
        <v>54.164989939637827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IFERROR(__xludf.DUMMYFUNCTION("IMPORTRANGE(""https://docs.google.com/spreadsheets/d/1eHaY18a8A9IcSdp1K8H6x8fbOy06t2VsZHhMHf-1x7Y/edit?usp=sharing"",""แผน!AM29"")"),1000)</f>
        <v>1000</v>
      </c>
      <c r="M215" s="45"/>
      <c r="N215" s="737">
        <v>1000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IFERROR(__xludf.DUMMYFUNCTION("IMPORTRANGE(""https://docs.google.com/spreadsheets/d/1eHaY18a8A9IcSdp1K8H6x8fbOy06t2VsZHhMHf-1x7Y/edit?usp=sharing"",""แผน!AN29"")"),5000)</f>
        <v>5000</v>
      </c>
      <c r="M216" s="45"/>
      <c r="N216" s="737">
        <v>5000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IFERROR(__xludf.DUMMYFUNCTION("IMPORTRANGE(""https://docs.google.com/spreadsheets/d/1eHaY18a8A9IcSdp1K8H6x8fbOy06t2VsZHhMHf-1x7Y/edit?usp=sharing"",""แผน!AO29"")"),0)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IFERROR(__xludf.DUMMYFUNCTION("IMPORTRANGE(""https://docs.google.com/spreadsheets/d/1eHaY18a8A9IcSdp1K8H6x8fbOy06t2VsZHhMHf-1x7Y/edit?usp=sharing"",""แผน!LY29"")"),49700)</f>
        <v>49700</v>
      </c>
      <c r="R217" s="45"/>
      <c r="S217" s="737">
        <v>26920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IFERROR(__xludf.DUMMYFUNCTION("IMPORTRANGE(""https://docs.google.com/spreadsheets/d/1eHaY18a8A9IcSdp1K8H6x8fbOy06t2VsZHhMHf-1x7Y/edit?usp=sharing"",""แผน!AP29"")"),1)</f>
        <v>1</v>
      </c>
      <c r="J219" s="380">
        <v>1</v>
      </c>
      <c r="K219" s="224">
        <f ca="1">IF(I219&gt;0,J219*100/I219,0)</f>
        <v>100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IFERROR(__xludf.DUMMYFUNCTION("IMPORTRANGE(""https://docs.google.com/spreadsheets/d/1eHaY18a8A9IcSdp1K8H6x8fbOy06t2VsZHhMHf-1x7Y/edit?usp=sharing"",""แผน!AP29"")"),1)</f>
        <v>1</v>
      </c>
      <c r="J220" s="380">
        <v>1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30000</v>
      </c>
      <c r="J221" s="302">
        <f>J229</f>
        <v>30000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6500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IFERROR(__xludf.DUMMYFUNCTION("IMPORTRANGE(""https://docs.google.com/spreadsheets/d/1eHaY18a8A9IcSdp1K8H6x8fbOy06t2VsZHhMHf-1x7Y/edit?usp=sharing"",""แผน!AR29"")"),2500)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IFERROR(__xludf.DUMMYFUNCTION("IMPORTRANGE(""https://docs.google.com/spreadsheets/d/1eHaY18a8A9IcSdp1K8H6x8fbOy06t2VsZHhMHf-1x7Y/edit?usp=sharing"",""แผน!AS29"")"),4000)</f>
        <v>4000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IFERROR(__xludf.DUMMYFUNCTION("IMPORTRANGE(""https://docs.google.com/spreadsheets/d/1eHaY18a8A9IcSdp1K8H6x8fbOy06t2VsZHhMHf-1x7Y/edit?usp=sharing"",""แผน!AT29"")"),0)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IFERROR(__xludf.DUMMYFUNCTION("IMPORTRANGE(""https://docs.google.com/spreadsheets/d/1eHaY18a8A9IcSdp1K8H6x8fbOy06t2VsZHhMHf-1x7Y/edit?usp=sharing"",""แผน!AV29"")"),30000)</f>
        <v>30000</v>
      </c>
      <c r="J228" s="380">
        <v>30000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IFERROR(__xludf.DUMMYFUNCTION("IMPORTRANGE(""https://docs.google.com/spreadsheets/d/1eHaY18a8A9IcSdp1K8H6x8fbOy06t2VsZHhMHf-1x7Y/edit?usp=sharing"",""แผน!AV29"")"),30000)</f>
        <v>30000</v>
      </c>
      <c r="J229" s="380">
        <v>30000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IFERROR(__xludf.DUMMYFUNCTION("IMPORTRANGE(""https://docs.google.com/spreadsheets/d/1eHaY18a8A9IcSdp1K8H6x8fbOy06t2VsZHhMHf-1x7Y/edit?usp=sharing"",""แผน!AU29"")"),0)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918">
        <v>0</v>
      </c>
      <c r="R233" s="376">
        <v>0</v>
      </c>
      <c r="S233" s="37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545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545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545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IFERROR(__xludf.DUMMYFUNCTION("IMPORTRANGE(""https://docs.google.com/spreadsheets/d/1eHaY18a8A9IcSdp1K8H6x8fbOy06t2VsZHhMHf-1x7Y/edit?usp=sharing"",""แผน!AX29"")"),0)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IFERROR(__xludf.DUMMYFUNCTION("IMPORTRANGE(""https://docs.google.com/spreadsheets/d/1eHaY18a8A9IcSdp1K8H6x8fbOy06t2VsZHhMHf-1x7Y/edit?usp=sharing"",""แผน!AY29"")"),0)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IFERROR(__xludf.DUMMYFUNCTION("IMPORTRANGE(""https://docs.google.com/spreadsheets/d/1eHaY18a8A9IcSdp1K8H6x8fbOy06t2VsZHhMHf-1x7Y/edit?usp=sharing"",""แผน!AZ29"")"),0)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IFERROR(__xludf.DUMMYFUNCTION("IMPORTRANGE(""https://docs.google.com/spreadsheets/d/1eHaY18a8A9IcSdp1K8H6x8fbOy06t2VsZHhMHf-1x7Y/edit?usp=sharing"",""แผน!BA29"")"),0)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IFERROR(__xludf.DUMMYFUNCTION("IMPORTRANGE(""https://docs.google.com/spreadsheets/d/1eHaY18a8A9IcSdp1K8H6x8fbOy06t2VsZHhMHf-1x7Y/edit?usp=sharing"",""แผน!BG29"")"),0)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IFERROR(__xludf.DUMMYFUNCTION("IMPORTRANGE(""https://docs.google.com/spreadsheets/d/1eHaY18a8A9IcSdp1K8H6x8fbOy06t2VsZHhMHf-1x7Y/edit?usp=sharing"",""แผน!BB29"")"),0)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IFERROR(__xludf.DUMMYFUNCTION("IMPORTRANGE(""https://docs.google.com/spreadsheets/d/1eHaY18a8A9IcSdp1K8H6x8fbOy06t2VsZHhMHf-1x7Y/edit?usp=sharing"",""แผน!BC29"")"),0)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IFERROR(__xludf.DUMMYFUNCTION("IMPORTRANGE(""https://docs.google.com/spreadsheets/d/1eHaY18a8A9IcSdp1K8H6x8fbOy06t2VsZHhMHf-1x7Y/edit?usp=sharing"",""แผน!BD29"")"),0)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IFERROR(__xludf.DUMMYFUNCTION("IMPORTRANGE(""https://docs.google.com/spreadsheets/d/1eHaY18a8A9IcSdp1K8H6x8fbOy06t2VsZHhMHf-1x7Y/edit?usp=sharing"",""แผน!BE29"")"),0)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IFERROR(__xludf.DUMMYFUNCTION("IMPORTRANGE(""https://docs.google.com/spreadsheets/d/1eHaY18a8A9IcSdp1K8H6x8fbOy06t2VsZHhMHf-1x7Y/edit?usp=sharing"",""แผน!BH29"")"),0)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20000</v>
      </c>
      <c r="N266" s="715">
        <f ca="1">N267+N268</f>
        <v>15090</v>
      </c>
      <c r="O266" s="715">
        <f ca="1">IF(L266&gt;0,N266*100/L266,0)</f>
        <v>301.8</v>
      </c>
      <c r="P266" s="715">
        <f ca="1">IF(M266&gt;0,N266*100/M266,0)</f>
        <v>75.45</v>
      </c>
      <c r="Q266" s="715">
        <f ca="1">Q267+Q268</f>
        <v>50660</v>
      </c>
      <c r="R266" s="715">
        <f ca="1">R267+R268</f>
        <v>50660</v>
      </c>
      <c r="S266" s="715">
        <f ca="1">S267+S268</f>
        <v>50660</v>
      </c>
      <c r="T266" s="715">
        <f ca="1">IF(Q266&gt;0,S266*100/Q266,0)</f>
        <v>100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20000</v>
      </c>
      <c r="N268" s="558">
        <f ca="1">N271+N274</f>
        <v>15090</v>
      </c>
      <c r="O268" s="558">
        <f ca="1">IF(L268&gt;0,N268*100/L268,0)</f>
        <v>301.8</v>
      </c>
      <c r="P268" s="558">
        <f ca="1">IF(M268&gt;0,N268*100/M268,0)</f>
        <v>75.45</v>
      </c>
      <c r="Q268" s="558">
        <f ca="1">Q271+Q274</f>
        <v>50660</v>
      </c>
      <c r="R268" s="558">
        <f ca="1">R271+R274</f>
        <v>50660</v>
      </c>
      <c r="S268" s="558">
        <f ca="1">S271+S274</f>
        <v>50660</v>
      </c>
      <c r="T268" s="558">
        <f ca="1">IF(Q268&gt;0,S268*100/Q268,0)</f>
        <v>100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20000</v>
      </c>
      <c r="N269" s="558">
        <f ca="1">N270+N271</f>
        <v>15090</v>
      </c>
      <c r="O269" s="558">
        <f ca="1">IF(L269&gt;0,N269*100/L269,0)</f>
        <v>301.8</v>
      </c>
      <c r="P269" s="558">
        <f ca="1">IF(M269&gt;0,N269*100/M269,0)</f>
        <v>75.45</v>
      </c>
      <c r="Q269" s="558">
        <f ca="1">Q270+Q271</f>
        <v>50660</v>
      </c>
      <c r="R269" s="558">
        <f ca="1">R270+R271</f>
        <v>50660</v>
      </c>
      <c r="S269" s="558">
        <f ca="1">S270+S271</f>
        <v>50660</v>
      </c>
      <c r="T269" s="558">
        <f ca="1">IF(Q269&gt;0,S269*100/Q269,0)</f>
        <v>100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IFERROR(__xludf.DUMMYFUNCTION("IMPORTRANGE(""https://docs.google.com/spreadsheets/d/1-uDff_7J0KD5mKrp0Vvzr7lt3OU09vwQwhkpOPPYv2Y/edit?usp=sharing"",""งบพรบ!DE29"")"),5000)</f>
        <v>5000</v>
      </c>
      <c r="M271" s="558">
        <f ca="1">IFERROR(__xludf.DUMMYFUNCTION("IMPORTRANGE(""https://docs.google.com/spreadsheets/d/1-uDff_7J0KD5mKrp0Vvzr7lt3OU09vwQwhkpOPPYv2Y/edit?usp=sharing"",""งบพรบ!DJ29"")"),20000)</f>
        <v>20000</v>
      </c>
      <c r="N271" s="558">
        <f ca="1">IFERROR(__xludf.DUMMYFUNCTION("IMPORTRANGE(""https://docs.google.com/spreadsheets/d/1-uDff_7J0KD5mKrp0Vvzr7lt3OU09vwQwhkpOPPYv2Y/edit?usp=sharing"",""งบพรบ!DL29"")"),15090)</f>
        <v>15090</v>
      </c>
      <c r="O271" s="558">
        <f ca="1">IF(L271&gt;0,N271*100/L271,0)</f>
        <v>301.8</v>
      </c>
      <c r="P271" s="558">
        <f ca="1">IF(M271&gt;0,N271*100/M271,0)</f>
        <v>75.45</v>
      </c>
      <c r="Q271" s="558">
        <f ca="1">IFERROR(__xludf.DUMMYFUNCTION("IMPORTRANGE(""https://docs.google.com/spreadsheets/d/1ItG2mGa2ceCfYo0BwxsXqNm01IGEUdYcSSLTEv9YCik/edit?usp=sharing"",""เบิกจ่ายกองทุน!AP29"")"),50660)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IFERROR(__xludf.DUMMYFUNCTION("IMPORTRANGE(""https://docs.google.com/spreadsheets/d/1ItG2mGa2ceCfYo0BwxsXqNm01IGEUdYcSSLTEv9YCik/edit?usp=sharing"",""เบิกจ่ายกองทุน!AQ29"")"),50660)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IFERROR(__xludf.DUMMYFUNCTION("IMPORTRANGE(""https://docs.google.com/spreadsheets/d/1ItG2mGa2ceCfYo0BwxsXqNm01IGEUdYcSSLTEv9YCik/edit?usp=sharing"",""เบิกจ่ายกองทุน!AR29"")"),50660)</f>
        <v>50660</v>
      </c>
      <c r="T271" s="558">
        <f ca="1">IF(Q271&gt;0,S271*100/Q271,0)</f>
        <v>100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IFERROR(__xludf.DUMMYFUNCTION("IMPORTRANGE(""https://docs.google.com/spreadsheets/d/1-uDff_7J0KD5mKrp0Vvzr7lt3OU09vwQwhkpOPPYv2Y/edit?usp=sharing"",""งบพรบ!DH29"")"),0)</f>
        <v>0</v>
      </c>
      <c r="M274" s="558">
        <f ca="1">IFERROR(__xludf.DUMMYFUNCTION("IMPORTRANGE(""https://docs.google.com/spreadsheets/d/1-uDff_7J0KD5mKrp0Vvzr7lt3OU09vwQwhkpOPPYv2Y/edit?usp=sharing"",""งบพรบ!DK29"")"),0)</f>
        <v>0</v>
      </c>
      <c r="N274" s="558">
        <f ca="1">IFERROR(__xludf.DUMMYFUNCTION("IMPORTRANGE(""https://docs.google.com/spreadsheets/d/1-uDff_7J0KD5mKrp0Vvzr7lt3OU09vwQwhkpOPPYv2Y/edit?usp=sharing"",""งบพรบ!DM29"")"),0)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IFERROR(__xludf.DUMMYFUNCTION("IMPORTRANGE(""https://docs.google.com/spreadsheets/d/1eHaY18a8A9IcSdp1K8H6x8fbOy06t2VsZHhMHf-1x7Y/edit?usp=sharing"",""แผน!EC29"")"),22)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82210</v>
      </c>
      <c r="N282" s="547">
        <f ca="1">N283+N284</f>
        <v>76481.5</v>
      </c>
      <c r="O282" s="547">
        <f ca="1">IF(L282&gt;0,N282*100/L282,0)</f>
        <v>107.5386670416198</v>
      </c>
      <c r="P282" s="547">
        <f ca="1">IF(M282&gt;0,N282*100/M282,0)</f>
        <v>93.031869602238174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82210</v>
      </c>
      <c r="N284" s="224">
        <f ca="1">N287+N290</f>
        <v>76481.5</v>
      </c>
      <c r="O284" s="224">
        <f ca="1">IF(L284&gt;0,N284*100/L284,0)</f>
        <v>107.5386670416198</v>
      </c>
      <c r="P284" s="224">
        <f ca="1">IF(M284&gt;0,N284*100/M284,0)</f>
        <v>93.031869602238174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82210</v>
      </c>
      <c r="N285" s="224">
        <f ca="1">N286+N287</f>
        <v>76481.5</v>
      </c>
      <c r="O285" s="224">
        <f ca="1">IF(L285&gt;0,N285*100/L285,0)</f>
        <v>107.5386670416198</v>
      </c>
      <c r="P285" s="224">
        <f ca="1">IF(M285&gt;0,N285*100/M285,0)</f>
        <v>93.031869602238174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IFERROR(__xludf.DUMMYFUNCTION("IMPORTRANGE(""https://docs.google.com/spreadsheets/d/1-uDff_7J0KD5mKrp0Vvzr7lt3OU09vwQwhkpOPPYv2Y/edit?usp=sharing"",""งบพรบ!DO29"")"),71120)</f>
        <v>71120</v>
      </c>
      <c r="M287" s="224">
        <f ca="1">IFERROR(__xludf.DUMMYFUNCTION("IMPORTRANGE(""https://docs.google.com/spreadsheets/d/1-uDff_7J0KD5mKrp0Vvzr7lt3OU09vwQwhkpOPPYv2Y/edit?usp=sharing"",""งบพรบ!DT29"")"),82210)</f>
        <v>82210</v>
      </c>
      <c r="N287" s="224">
        <f ca="1">IFERROR(__xludf.DUMMYFUNCTION("IMPORTRANGE(""https://docs.google.com/spreadsheets/d/1-uDff_7J0KD5mKrp0Vvzr7lt3OU09vwQwhkpOPPYv2Y/edit?usp=sharing"",""งบพรบ!DV29"")"),76481.5)</f>
        <v>76481.5</v>
      </c>
      <c r="O287" s="224">
        <f ca="1">IF(L287&gt;0,N287*100/L287,0)</f>
        <v>107.5386670416198</v>
      </c>
      <c r="P287" s="224">
        <f ca="1">IF(M287&gt;0,N287*100/M287,0)</f>
        <v>93.031869602238174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IFERROR(__xludf.DUMMYFUNCTION("IMPORTRANGE(""https://docs.google.com/spreadsheets/d/1-uDff_7J0KD5mKrp0Vvzr7lt3OU09vwQwhkpOPPYv2Y/edit?usp=sharing"",""งบพรบ!DR29"")"),0)</f>
        <v>0</v>
      </c>
      <c r="M290" s="224">
        <f ca="1">IFERROR(__xludf.DUMMYFUNCTION("IMPORTRANGE(""https://docs.google.com/spreadsheets/d/1-uDff_7J0KD5mKrp0Vvzr7lt3OU09vwQwhkpOPPYv2Y/edit?usp=sharing"",""งบพรบ!DU29"")"),0)</f>
        <v>0</v>
      </c>
      <c r="N290" s="224">
        <f ca="1">IFERROR(__xludf.DUMMYFUNCTION("IMPORTRANGE(""https://docs.google.com/spreadsheets/d/1-uDff_7J0KD5mKrp0Vvzr7lt3OU09vwQwhkpOPPYv2Y/edit?usp=sharing"",""งบพรบ!DW29"")"),0)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IFERROR(__xludf.DUMMYFUNCTION("IMPORTRANGE(""https://docs.google.com/spreadsheets/d/1eHaY18a8A9IcSdp1K8H6x8fbOy06t2VsZHhMHf-1x7Y/edit?usp=sharing"",""แผน!EE29"")"),200)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IFERROR(__xludf.DUMMYFUNCTION("IMPORTRANGE(""https://docs.google.com/spreadsheets/d/1eHaY18a8A9IcSdp1K8H6x8fbOy06t2VsZHhMHf-1x7Y/edit?usp=sharing"",""แผน!ED29"")"),20)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IFERROR(__xludf.DUMMYFUNCTION("IMPORTRANGE(""https://docs.google.com/spreadsheets/d/1eHaY18a8A9IcSdp1K8H6x8fbOy06t2VsZHhMHf-1x7Y/edit?usp=sharing"",""แผน!ED29"")"),20)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IFERROR(__xludf.DUMMYFUNCTION("IMPORTRANGE(""https://docs.google.com/spreadsheets/d/1eHaY18a8A9IcSdp1K8H6x8fbOy06t2VsZHhMHf-1x7Y/edit?usp=sharing"",""แผน!ED29"")"),20)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IFERROR(__xludf.DUMMYFUNCTION("IMPORTRANGE(""https://docs.google.com/spreadsheets/d/1eHaY18a8A9IcSdp1K8H6x8fbOy06t2VsZHhMHf-1x7Y/edit?usp=sharing"",""แผน!ED29"")"),20)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IFERROR(__xludf.DUMMYFUNCTION("IMPORTRANGE(""https://docs.google.com/spreadsheets/d/1eHaY18a8A9IcSdp1K8H6x8fbOy06t2VsZHhMHf-1x7Y/edit?usp=sharing"",""แผน!ED29"")"),20)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264500</v>
      </c>
      <c r="M303" s="547">
        <f ca="1">M304+M305</f>
        <v>264500</v>
      </c>
      <c r="N303" s="547">
        <f ca="1">N304+N305</f>
        <v>242845.1</v>
      </c>
      <c r="O303" s="547">
        <f ca="1">IF(L303&gt;0,N303*100/L303,0)</f>
        <v>91.812892249527408</v>
      </c>
      <c r="P303" s="547">
        <f ca="1">IF(M303&gt;0,N303*100/M303,0)</f>
        <v>91.812892249527408</v>
      </c>
      <c r="Q303" s="547">
        <f ca="1">Q304+Q305</f>
        <v>144609.24</v>
      </c>
      <c r="R303" s="547">
        <f ca="1">R304+R305</f>
        <v>148809</v>
      </c>
      <c r="S303" s="547">
        <f ca="1">S304+S305</f>
        <v>100584</v>
      </c>
      <c r="T303" s="547">
        <f ca="1">IF(Q303&gt;0,S303*100/Q303,0)</f>
        <v>69.555721335649096</v>
      </c>
      <c r="U303" s="547">
        <f ca="1">IF(R303&gt;0,S303*100/R303,0)</f>
        <v>67.592685926254461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264500</v>
      </c>
      <c r="M305" s="224">
        <f ca="1">M308+M311</f>
        <v>264500</v>
      </c>
      <c r="N305" s="224">
        <f ca="1">N308+N311</f>
        <v>242845.1</v>
      </c>
      <c r="O305" s="224">
        <f ca="1">IF(L305&gt;0,N305*100/L305,0)</f>
        <v>91.812892249527408</v>
      </c>
      <c r="P305" s="224">
        <f ca="1">IF(M305&gt;0,N305*100/M305,0)</f>
        <v>91.812892249527408</v>
      </c>
      <c r="Q305" s="224">
        <f ca="1">Q308+Q311</f>
        <v>144609.24</v>
      </c>
      <c r="R305" s="224">
        <f ca="1">R308+R311</f>
        <v>148809</v>
      </c>
      <c r="S305" s="224">
        <f ca="1">S308+S311</f>
        <v>100584</v>
      </c>
      <c r="T305" s="224">
        <f ca="1">IF(Q305&gt;0,S305*100/Q305,0)</f>
        <v>69.555721335649096</v>
      </c>
      <c r="U305" s="224">
        <f ca="1">IF(R305&gt;0,S305*100/R305,0)</f>
        <v>67.592685926254461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264500</v>
      </c>
      <c r="M306" s="224">
        <f ca="1">M307+M308</f>
        <v>264500</v>
      </c>
      <c r="N306" s="224">
        <f ca="1">N307+N308</f>
        <v>242845.1</v>
      </c>
      <c r="O306" s="224">
        <f ca="1">IF(L306&gt;0,N306*100/L306,0)</f>
        <v>91.812892249527408</v>
      </c>
      <c r="P306" s="224">
        <f ca="1">IF(M306&gt;0,N306*100/M306,0)</f>
        <v>91.812892249527408</v>
      </c>
      <c r="Q306" s="224">
        <f ca="1">Q307+Q308</f>
        <v>144609.24</v>
      </c>
      <c r="R306" s="224">
        <f ca="1">R307+R308</f>
        <v>148809</v>
      </c>
      <c r="S306" s="224">
        <f ca="1">S307+S308</f>
        <v>100584</v>
      </c>
      <c r="T306" s="224">
        <f ca="1">IF(Q306&gt;0,S306*100/Q306,0)</f>
        <v>69.555721335649096</v>
      </c>
      <c r="U306" s="224">
        <f ca="1">IF(R306&gt;0,S306*100/R306,0)</f>
        <v>67.592685926254461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IFERROR(__xludf.DUMMYFUNCTION("IMPORTRANGE(""https://docs.google.com/spreadsheets/d/1-uDff_7J0KD5mKrp0Vvzr7lt3OU09vwQwhkpOPPYv2Y/edit?usp=sharing"",""งบพรบ!DY29"")"),264500)</f>
        <v>264500</v>
      </c>
      <c r="M308" s="224">
        <f ca="1">IFERROR(__xludf.DUMMYFUNCTION("IMPORTRANGE(""https://docs.google.com/spreadsheets/d/1-uDff_7J0KD5mKrp0Vvzr7lt3OU09vwQwhkpOPPYv2Y/edit?usp=sharing"",""งบพรบ!ED29"")"),264500)</f>
        <v>264500</v>
      </c>
      <c r="N308" s="224">
        <f ca="1">IFERROR(__xludf.DUMMYFUNCTION("IMPORTRANGE(""https://docs.google.com/spreadsheets/d/1-uDff_7J0KD5mKrp0Vvzr7lt3OU09vwQwhkpOPPYv2Y/edit?usp=sharing"",""งบพรบ!EF29"")"),242845.1)</f>
        <v>242845.1</v>
      </c>
      <c r="O308" s="224">
        <f ca="1">IF(L308&gt;0,N308*100/L308,0)</f>
        <v>91.812892249527408</v>
      </c>
      <c r="P308" s="224">
        <f ca="1">IF(M308&gt;0,N308*100/M308,0)</f>
        <v>91.812892249527408</v>
      </c>
      <c r="Q308" s="224">
        <f ca="1">IFERROR(__xludf.DUMMYFUNCTION("IMPORTRANGE(""https://docs.google.com/spreadsheets/d/1ItG2mGa2ceCfYo0BwxsXqNm01IGEUdYcSSLTEv9YCik/edit?usp=sharing"",""เบิกจ่ายกองทุน!BB29"")"),144609.24)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IFERROR(__xludf.DUMMYFUNCTION("IMPORTRANGE(""https://docs.google.com/spreadsheets/d/1ItG2mGa2ceCfYo0BwxsXqNm01IGEUdYcSSLTEv9YCik/edit?usp=sharing"",""เบิกจ่ายกองทุน!BC29"")"),148809)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IFERROR(__xludf.DUMMYFUNCTION("IMPORTRANGE(""https://docs.google.com/spreadsheets/d/1ItG2mGa2ceCfYo0BwxsXqNm01IGEUdYcSSLTEv9YCik/edit?usp=sharing"",""เบิกจ่ายกองทุน!BD29"")"),100584)</f>
        <v>100584</v>
      </c>
      <c r="T308" s="224">
        <f ca="1">IF(Q308&gt;0,S308*100/Q308,0)</f>
        <v>69.555721335649096</v>
      </c>
      <c r="U308" s="224">
        <f ca="1">IF(R308&gt;0,S308*100/R308,0)</f>
        <v>67.592685926254461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IFERROR(__xludf.DUMMYFUNCTION("IMPORTRANGE(""https://docs.google.com/spreadsheets/d/1-uDff_7J0KD5mKrp0Vvzr7lt3OU09vwQwhkpOPPYv2Y/edit?usp=sharing"",""งบพรบ!EB29"")"),0)</f>
        <v>0</v>
      </c>
      <c r="M311" s="224">
        <f ca="1">IFERROR(__xludf.DUMMYFUNCTION("IMPORTRANGE(""https://docs.google.com/spreadsheets/d/1-uDff_7J0KD5mKrp0Vvzr7lt3OU09vwQwhkpOPPYv2Y/edit?usp=sharing"",""งบพรบ!EE29"")"),0)</f>
        <v>0</v>
      </c>
      <c r="N311" s="224">
        <f ca="1">IFERROR(__xludf.DUMMYFUNCTION("IMPORTRANGE(""https://docs.google.com/spreadsheets/d/1-uDff_7J0KD5mKrp0Vvzr7lt3OU09vwQwhkpOPPYv2Y/edit?usp=sharing"",""งบพรบ!EG29"")"),0)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IFERROR(__xludf.DUMMYFUNCTION("IMPORTRANGE(""https://docs.google.com/spreadsheets/d/1eHaY18a8A9IcSdp1K8H6x8fbOy06t2VsZHhMHf-1x7Y/edit?usp=sharing"",""แผน!EF29"")"),20)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IFERROR(__xludf.DUMMYFUNCTION("IMPORTRANGE(""https://docs.google.com/spreadsheets/d/1-uDff_7J0KD5mKrp0Vvzr7lt3OU09vwQwhkpOPPYv2Y/edit?usp=sharing"",""งบพรบ!EI29"")"),0)</f>
        <v>0</v>
      </c>
      <c r="M325" s="224">
        <f ca="1">IFERROR(__xludf.DUMMYFUNCTION("IMPORTRANGE(""https://docs.google.com/spreadsheets/d/1-uDff_7J0KD5mKrp0Vvzr7lt3OU09vwQwhkpOPPYv2Y/edit?usp=sharing"",""งบพรบ!EN29"")"),0)</f>
        <v>0</v>
      </c>
      <c r="N325" s="224">
        <f ca="1">IFERROR(__xludf.DUMMYFUNCTION("IMPORTRANGE(""https://docs.google.com/spreadsheets/d/1-uDff_7J0KD5mKrp0Vvzr7lt3OU09vwQwhkpOPPYv2Y/edit?usp=sharing"",""งบพรบ!EP29"")"),0)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IFERROR(__xludf.DUMMYFUNCTION("IMPORTRANGE(""https://docs.google.com/spreadsheets/d/1-uDff_7J0KD5mKrp0Vvzr7lt3OU09vwQwhkpOPPYv2Y/edit?usp=sharing"",""งบพรบ!EL29"")"),0)</f>
        <v>0</v>
      </c>
      <c r="M328" s="224">
        <f ca="1">IFERROR(__xludf.DUMMYFUNCTION("IMPORTRANGE(""https://docs.google.com/spreadsheets/d/1-uDff_7J0KD5mKrp0Vvzr7lt3OU09vwQwhkpOPPYv2Y/edit?usp=sharing"",""งบพรบ!EO29"")"),0)</f>
        <v>0</v>
      </c>
      <c r="N328" s="224">
        <f ca="1">IFERROR(__xludf.DUMMYFUNCTION("IMPORTRANGE(""https://docs.google.com/spreadsheets/d/1-uDff_7J0KD5mKrp0Vvzr7lt3OU09vwQwhkpOPPYv2Y/edit?usp=sharing"",""งบพรบ!EQ29"")"),0)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IFERROR(__xludf.DUMMYFUNCTION("IMPORTRANGE(""https://docs.google.com/spreadsheets/d/1eHaY18a8A9IcSdp1K8H6x8fbOy06t2VsZHhMHf-1x7Y/edit?usp=sharing"",""แผน!EJ29"")"),0)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IFERROR(__xludf.DUMMYFUNCTION("IMPORTRANGE(""https://docs.google.com/spreadsheets/d/1eHaY18a8A9IcSdp1K8H6x8fbOy06t2VsZHhMHf-1x7Y/edit?usp=sharing"",""แผน!EK29"")"),1800)</f>
        <v>1800</v>
      </c>
      <c r="J332" s="300">
        <f ca="1">J344+J347+J348+J349+J353+J354</f>
        <v>6065</v>
      </c>
      <c r="K332" s="679">
        <f ca="1">IF(I332&gt;0,J332*100/I332,0)</f>
        <v>336.94444444444446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190000</v>
      </c>
      <c r="M333" s="547">
        <f ca="1">M334+M335</f>
        <v>190000</v>
      </c>
      <c r="N333" s="547">
        <f ca="1">N334+N335</f>
        <v>167915</v>
      </c>
      <c r="O333" s="547">
        <f ca="1">IF(L333&gt;0,N333*100/L333,0)</f>
        <v>88.376315789473679</v>
      </c>
      <c r="P333" s="547">
        <f ca="1">IF(M333&gt;0,N333*100/M333,0)</f>
        <v>88.376315789473679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190000</v>
      </c>
      <c r="M335" s="224">
        <f ca="1">M338+M341</f>
        <v>190000</v>
      </c>
      <c r="N335" s="224">
        <f ca="1">N338+N341</f>
        <v>167915</v>
      </c>
      <c r="O335" s="224">
        <f ca="1">IF(L335&gt;0,N335*100/L335,0)</f>
        <v>88.376315789473679</v>
      </c>
      <c r="P335" s="224">
        <f ca="1">IF(M335&gt;0,N335*100/M335,0)</f>
        <v>88.376315789473679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190000</v>
      </c>
      <c r="M336" s="224">
        <f ca="1">M337+M338</f>
        <v>190000</v>
      </c>
      <c r="N336" s="224">
        <f ca="1">N337+N338</f>
        <v>167915</v>
      </c>
      <c r="O336" s="224">
        <f ca="1">IF(L336&gt;0,N336*100/L336,0)</f>
        <v>88.376315789473679</v>
      </c>
      <c r="P336" s="224">
        <f ca="1">IF(M336&gt;0,N336*100/M336,0)</f>
        <v>88.376315789473679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IFERROR(__xludf.DUMMYFUNCTION("IMPORTRANGE(""https://docs.google.com/spreadsheets/d/1-uDff_7J0KD5mKrp0Vvzr7lt3OU09vwQwhkpOPPYv2Y/edit?usp=sharing"",""งบพรบ!ES29"")"),190000)</f>
        <v>190000</v>
      </c>
      <c r="M338" s="224">
        <f ca="1">IFERROR(__xludf.DUMMYFUNCTION("IMPORTRANGE(""https://docs.google.com/spreadsheets/d/1-uDff_7J0KD5mKrp0Vvzr7lt3OU09vwQwhkpOPPYv2Y/edit?usp=sharing"",""งบพรบ!EX29"")"),190000)</f>
        <v>190000</v>
      </c>
      <c r="N338" s="224">
        <f ca="1">IFERROR(__xludf.DUMMYFUNCTION("IMPORTRANGE(""https://docs.google.com/spreadsheets/d/1-uDff_7J0KD5mKrp0Vvzr7lt3OU09vwQwhkpOPPYv2Y/edit?usp=sharing"",""งบพรบ!EZ29"")"),167915)</f>
        <v>167915</v>
      </c>
      <c r="O338" s="224">
        <f ca="1">IF(L338&gt;0,N338*100/L338,0)</f>
        <v>88.376315789473679</v>
      </c>
      <c r="P338" s="224">
        <f ca="1">IF(M338&gt;0,N338*100/M338,0)</f>
        <v>88.376315789473679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IFERROR(__xludf.DUMMYFUNCTION("IMPORTRANGE(""https://docs.google.com/spreadsheets/d/1-uDff_7J0KD5mKrp0Vvzr7lt3OU09vwQwhkpOPPYv2Y/edit?usp=sharing"",""งบพรบ!EV29"")"),0)</f>
        <v>0</v>
      </c>
      <c r="M341" s="224">
        <f ca="1">IFERROR(__xludf.DUMMYFUNCTION("IMPORTRANGE(""https://docs.google.com/spreadsheets/d/1-uDff_7J0KD5mKrp0Vvzr7lt3OU09vwQwhkpOPPYv2Y/edit?usp=sharing"",""งบพรบ!EY29"")"),0)</f>
        <v>0</v>
      </c>
      <c r="N341" s="224">
        <f ca="1">IFERROR(__xludf.DUMMYFUNCTION("IMPORTRANGE(""https://docs.google.com/spreadsheets/d/1-uDff_7J0KD5mKrp0Vvzr7lt3OU09vwQwhkpOPPYv2Y/edit?usp=sharing"",""งบพรบ!FA29"")"),0)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1138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IFERROR(__xludf.DUMMYFUNCTION("IMPORTRANGE(""https://docs.google.com/spreadsheets/d/1awYsYK3VOup2i3Pq_Yjnu8DRu_mYwSBnCR2QPthd0rU/edit?usp=sharing"",""ศูนย์ยกเว้นโฉนด!D29"")"),996)</f>
        <v>996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IFERROR(__xludf.DUMMYFUNCTION("IMPORTRANGE(""https://docs.google.com/spreadsheets/d/1eHaY18a8A9IcSdp1K8H6x8fbOy06t2VsZHhMHf-1x7Y/edit?usp=sharing"",""แผน!EL29"")"),6)</f>
        <v>6</v>
      </c>
      <c r="J346" s="184">
        <f ca="1">IFERROR(__xludf.DUMMYFUNCTION("IMPORTRANGE(""https://docs.google.com/spreadsheets/d/1awYsYK3VOup2i3Pq_Yjnu8DRu_mYwSBnCR2QPthd0rU/edit?usp=sharing"",""ศูนย์รวม!E29"")"),5)</f>
        <v>5</v>
      </c>
      <c r="K346" s="224">
        <f ca="1">IF(I346&gt;0,J346*100/I346,0)</f>
        <v>83.333333333333329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IFERROR(__xludf.DUMMYFUNCTION("IMPORTRANGE(""https://docs.google.com/spreadsheets/d/1awYsYK3VOup2i3Pq_Yjnu8DRu_mYwSBnCR2QPthd0rU/edit?usp=sharing"",""ศูนย์ยกเว้นโฉนด!F29"")"),142)</f>
        <v>142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IFERROR(__xludf.DUMMYFUNCTION("IMPORTRANGE(""https://docs.google.com/spreadsheets/d/1awYsYK3VOup2i3Pq_Yjnu8DRu_mYwSBnCR2QPthd0rU/edit?usp=sharing"",""ศูนย์ยกเว้นโฉนด!G29"")"),0)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IFERROR(__xludf.DUMMYFUNCTION("IMPORTRANGE(""https://docs.google.com/spreadsheets/d/1awYsYK3VOup2i3Pq_Yjnu8DRu_mYwSBnCR2QPthd0rU/edit?usp=sharing"",""ศูนย์ยกเว้นโฉนด!H29"")"),0)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4927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IFERROR(__xludf.DUMMYFUNCTION("IMPORTRANGE(""https://docs.google.com/spreadsheets/d/1awYsYK3VOup2i3Pq_Yjnu8DRu_mYwSBnCR2QPthd0rU/edit?usp=sharing"",""โฉนดM3!G29"")"),674)</f>
        <v>674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IFERROR(__xludf.DUMMYFUNCTION("IMPORTRANGE(""https://docs.google.com/spreadsheets/d/1awYsYK3VOup2i3Pq_Yjnu8DRu_mYwSBnCR2QPthd0rU/edit?usp=sharing"",""โฉนดM3!H29"")"),4329)</f>
        <v>4329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IFERROR(__xludf.DUMMYFUNCTION("IMPORTRANGE(""https://docs.google.com/spreadsheets/d/1awYsYK3VOup2i3Pq_Yjnu8DRu_mYwSBnCR2QPthd0rU/edit?usp=sharing"",""โฉนดM3!I29"")"),598)</f>
        <v>598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751200</v>
      </c>
      <c r="M356" s="547">
        <f ca="1">M357+M358</f>
        <v>902300</v>
      </c>
      <c r="N356" s="547">
        <f ca="1">N357+N358</f>
        <v>709905</v>
      </c>
      <c r="O356" s="547">
        <f ca="1">IF(L356&gt;0,N356*100/L356,0)</f>
        <v>94.50279552715655</v>
      </c>
      <c r="P356" s="547">
        <f ca="1">IF(M356&gt;0,N356*100/M356,0)</f>
        <v>78.677269200930951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751200</v>
      </c>
      <c r="M358" s="224">
        <f ca="1">M361+M364</f>
        <v>902300</v>
      </c>
      <c r="N358" s="224">
        <f ca="1">N361+N364</f>
        <v>709905</v>
      </c>
      <c r="O358" s="224">
        <f ca="1">IF(L358&gt;0,N358*100/L358,0)</f>
        <v>94.50279552715655</v>
      </c>
      <c r="P358" s="224">
        <f ca="1">IF(M358&gt;0,N358*100/M358,0)</f>
        <v>78.677269200930951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751200</v>
      </c>
      <c r="M359" s="224">
        <f ca="1">M360+M361</f>
        <v>902300</v>
      </c>
      <c r="N359" s="224">
        <f ca="1">N360+N361</f>
        <v>709905</v>
      </c>
      <c r="O359" s="224">
        <f ca="1">IF(L359&gt;0,N359*100/L359,0)</f>
        <v>94.50279552715655</v>
      </c>
      <c r="P359" s="224">
        <f ca="1">IF(M359&gt;0,N359*100/M359,0)</f>
        <v>78.677269200930951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IFERROR(__xludf.DUMMYFUNCTION("IMPORTRANGE(""https://docs.google.com/spreadsheets/d/1-uDff_7J0KD5mKrp0Vvzr7lt3OU09vwQwhkpOPPYv2Y/edit?usp=sharing"",""งบพรบ!FC29"")"),751200)</f>
        <v>751200</v>
      </c>
      <c r="M361" s="224">
        <f ca="1">IFERROR(__xludf.DUMMYFUNCTION("IMPORTRANGE(""https://docs.google.com/spreadsheets/d/1-uDff_7J0KD5mKrp0Vvzr7lt3OU09vwQwhkpOPPYv2Y/edit?usp=sharing"",""งบพรบ!FH29"")"),902300)</f>
        <v>902300</v>
      </c>
      <c r="N361" s="224">
        <f ca="1">IFERROR(__xludf.DUMMYFUNCTION("IMPORTRANGE(""https://docs.google.com/spreadsheets/d/1-uDff_7J0KD5mKrp0Vvzr7lt3OU09vwQwhkpOPPYv2Y/edit?usp=sharing"",""งบพรบ!FJ29"")"),709905)</f>
        <v>709905</v>
      </c>
      <c r="O361" s="224">
        <f ca="1">IF(L361&gt;0,N361*100/L361,0)</f>
        <v>94.50279552715655</v>
      </c>
      <c r="P361" s="224">
        <f ca="1">IF(M361&gt;0,N361*100/M361,0)</f>
        <v>78.677269200930951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IFERROR(__xludf.DUMMYFUNCTION("IMPORTRANGE(""https://docs.google.com/spreadsheets/d/1-uDff_7J0KD5mKrp0Vvzr7lt3OU09vwQwhkpOPPYv2Y/edit?usp=sharing"",""งบพรบ!FF29"")"),0)</f>
        <v>0</v>
      </c>
      <c r="M364" s="224">
        <f ca="1">IFERROR(__xludf.DUMMYFUNCTION("IMPORTRANGE(""https://docs.google.com/spreadsheets/d/1-uDff_7J0KD5mKrp0Vvzr7lt3OU09vwQwhkpOPPYv2Y/edit?usp=sharing"",""งบพรบ!FI29"")"),0)</f>
        <v>0</v>
      </c>
      <c r="N364" s="224">
        <f ca="1">IFERROR(__xludf.DUMMYFUNCTION("IMPORTRANGE(""https://docs.google.com/spreadsheets/d/1-uDff_7J0KD5mKrp0Vvzr7lt3OU09vwQwhkpOPPYv2Y/edit?usp=sharing"",""งบพรบ!FK29"")"),0)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590</v>
      </c>
      <c r="J365" s="302">
        <f ca="1">J371</f>
        <v>329</v>
      </c>
      <c r="K365" s="303">
        <f ca="1">IF(I365&gt;0,J365*100/I365,0)</f>
        <v>55.762711864406782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IFERROR(__xludf.DUMMYFUNCTION("IMPORTRANGE(""https://docs.google.com/spreadsheets/d/1tdoBKaGub7dwA3U6UFTqxio9LNnvDCQjHKmttSEBsFQ/edit?usp=sharing"",""จัดที่ดิน!AB29"")"),198)</f>
        <v>198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IFERROR(__xludf.DUMMYFUNCTION("IMPORTRANGE(""https://docs.google.com/spreadsheets/d/1eHaY18a8A9IcSdp1K8H6x8fbOy06t2VsZHhMHf-1x7Y/edit?usp=sharing"",""แผน!EW29"")"),1100)</f>
        <v>1100</v>
      </c>
      <c r="J368" s="668">
        <f ca="1">IFERROR(__xludf.DUMMYFUNCTION("IMPORTRANGE(""https://docs.google.com/spreadsheets/d/1tdoBKaGub7dwA3U6UFTqxio9LNnvDCQjHKmttSEBsFQ/edit?usp=sharing"",""จัดที่ดิน!AC29"")"),1110.35)</f>
        <v>1110.3499999999999</v>
      </c>
      <c r="K368" s="224">
        <f ca="1">IF(I368&gt;0,J368*100/I368,0)</f>
        <v>100.94090909090907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IFERROR(__xludf.DUMMYFUNCTION("IMPORTRANGE(""https://docs.google.com/spreadsheets/d/1eHaY18a8A9IcSdp1K8H6x8fbOy06t2VsZHhMHf-1x7Y/edit?usp=sharing"",""แผน!EX29"")"),590)</f>
        <v>590</v>
      </c>
      <c r="J369" s="184">
        <f ca="1">IFERROR(__xludf.DUMMYFUNCTION("IMPORTRANGE(""https://docs.google.com/spreadsheets/d/1tdoBKaGub7dwA3U6UFTqxio9LNnvDCQjHKmttSEBsFQ/edit?usp=sharing"",""จัดที่ดิน!AD29"")"),411)</f>
        <v>411</v>
      </c>
      <c r="K369" s="224">
        <f ca="1">IF(I369&gt;0,J369*100/I369,0)</f>
        <v>69.66101694915254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IFERROR(__xludf.DUMMYFUNCTION("IMPORTRANGE(""https://docs.google.com/spreadsheets/d/1tdoBKaGub7dwA3U6UFTqxio9LNnvDCQjHKmttSEBsFQ/edit?usp=sharing"",""จัดที่ดิน!AE29"")"),4226.14)</f>
        <v>4226.1400000000003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IFERROR(__xludf.DUMMYFUNCTION("IMPORTRANGE(""https://docs.google.com/spreadsheets/d/1eHaY18a8A9IcSdp1K8H6x8fbOy06t2VsZHhMHf-1x7Y/edit?usp=sharing"",""แผน!EY29"")"),590)</f>
        <v>590</v>
      </c>
      <c r="J371" s="184">
        <f ca="1">IFERROR(__xludf.DUMMYFUNCTION("IMPORTRANGE(""https://docs.google.com/spreadsheets/d/1tdoBKaGub7dwA3U6UFTqxio9LNnvDCQjHKmttSEBsFQ/edit?usp=sharing"",""จัดที่ดิน!AF29"")"),329)</f>
        <v>329</v>
      </c>
      <c r="K371" s="224">
        <f ca="1">IF(I371&gt;0,J371*100/I371,0)</f>
        <v>55.762711864406782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IFERROR(__xludf.DUMMYFUNCTION("IMPORTRANGE(""https://docs.google.com/spreadsheets/d/1tdoBKaGub7dwA3U6UFTqxio9LNnvDCQjHKmttSEBsFQ/edit?usp=sharing"",""จัดที่ดิน!AG29"")"),3823.96)</f>
        <v>3823.96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5000</v>
      </c>
      <c r="J374" s="660">
        <f ca="1">J386+J388</f>
        <v>2530</v>
      </c>
      <c r="K374" s="659">
        <f ca="1">IF(I374&gt;0,J374*100/I374,0)</f>
        <v>50.6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47700</v>
      </c>
      <c r="M375" s="547">
        <f ca="1">M376+M377</f>
        <v>47700</v>
      </c>
      <c r="N375" s="547">
        <f ca="1">N376+N377</f>
        <v>47187</v>
      </c>
      <c r="O375" s="547">
        <f ca="1">IF(L375&gt;0,N375*100/L375,0)</f>
        <v>98.924528301886795</v>
      </c>
      <c r="P375" s="547">
        <f ca="1">IF(M375&gt;0,N375*100/M375,0)</f>
        <v>98.924528301886795</v>
      </c>
      <c r="Q375" s="547">
        <f ca="1">Q376+Q377</f>
        <v>312500</v>
      </c>
      <c r="R375" s="547">
        <f ca="1">R376+R377</f>
        <v>312500</v>
      </c>
      <c r="S375" s="547">
        <f ca="1">S376+S377</f>
        <v>153079</v>
      </c>
      <c r="T375" s="547">
        <f ca="1">IF(Q375&gt;0,S375*100/Q375,0)</f>
        <v>48.985280000000003</v>
      </c>
      <c r="U375" s="547">
        <f ca="1">IF(R375&gt;0,S375*100/R375,0)</f>
        <v>48.985280000000003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47700</v>
      </c>
      <c r="M377" s="224">
        <f ca="1">M380+M383</f>
        <v>47700</v>
      </c>
      <c r="N377" s="224">
        <f ca="1">N380+N383</f>
        <v>47187</v>
      </c>
      <c r="O377" s="224">
        <f ca="1">IF(L377&gt;0,N377*100/L377,0)</f>
        <v>98.924528301886795</v>
      </c>
      <c r="P377" s="224">
        <f ca="1">IF(M377&gt;0,N377*100/M377,0)</f>
        <v>98.924528301886795</v>
      </c>
      <c r="Q377" s="224">
        <f ca="1">Q380+Q383</f>
        <v>312500</v>
      </c>
      <c r="R377" s="224">
        <f ca="1">R380+R383</f>
        <v>312500</v>
      </c>
      <c r="S377" s="224">
        <f ca="1">S380+S383</f>
        <v>153079</v>
      </c>
      <c r="T377" s="224">
        <f ca="1">IF(Q377&gt;0,S377*100/Q377,0)</f>
        <v>48.985280000000003</v>
      </c>
      <c r="U377" s="224">
        <f ca="1">IF(R377&gt;0,S377*100/R377,0)</f>
        <v>48.985280000000003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47700</v>
      </c>
      <c r="M378" s="224">
        <f ca="1">M379+M380</f>
        <v>47700</v>
      </c>
      <c r="N378" s="224">
        <f ca="1">N379+N380</f>
        <v>47187</v>
      </c>
      <c r="O378" s="224">
        <f ca="1">IF(L378&gt;0,N378*100/L378,0)</f>
        <v>98.924528301886795</v>
      </c>
      <c r="P378" s="224">
        <f ca="1">IF(M378&gt;0,N378*100/M378,0)</f>
        <v>98.924528301886795</v>
      </c>
      <c r="Q378" s="224">
        <f ca="1">Q379+Q380</f>
        <v>312500</v>
      </c>
      <c r="R378" s="224">
        <f ca="1">R379+R380</f>
        <v>312500</v>
      </c>
      <c r="S378" s="224">
        <f ca="1">S379+S380</f>
        <v>153079</v>
      </c>
      <c r="T378" s="224">
        <f ca="1">IF(Q378&gt;0,S378*100/Q378,0)</f>
        <v>48.985280000000003</v>
      </c>
      <c r="U378" s="224">
        <f ca="1">IF(R378&gt;0,S378*100/R378,0)</f>
        <v>48.985280000000003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IFERROR(__xludf.DUMMYFUNCTION("IMPORTRANGE(""https://docs.google.com/spreadsheets/d/1-uDff_7J0KD5mKrp0Vvzr7lt3OU09vwQwhkpOPPYv2Y/edit?usp=sharing"",""งบพรบ!IE29"")"),47700)</f>
        <v>47700</v>
      </c>
      <c r="M380" s="224">
        <f ca="1">IFERROR(__xludf.DUMMYFUNCTION("IMPORTRANGE(""https://docs.google.com/spreadsheets/d/1-uDff_7J0KD5mKrp0Vvzr7lt3OU09vwQwhkpOPPYv2Y/edit?usp=sharing"",""งบพรบ!IJ29"")"),47700)</f>
        <v>47700</v>
      </c>
      <c r="N380" s="224">
        <f ca="1">IFERROR(__xludf.DUMMYFUNCTION("IMPORTRANGE(""https://docs.google.com/spreadsheets/d/1-uDff_7J0KD5mKrp0Vvzr7lt3OU09vwQwhkpOPPYv2Y/edit?usp=sharing"",""งบพรบ!IL29"")"),47187)</f>
        <v>47187</v>
      </c>
      <c r="O380" s="224">
        <f ca="1">IF(L380&gt;0,N380*100/L380,0)</f>
        <v>98.924528301886795</v>
      </c>
      <c r="P380" s="224">
        <f ca="1">IF(M380&gt;0,N380*100/M380,0)</f>
        <v>98.924528301886795</v>
      </c>
      <c r="Q380" s="224">
        <f ca="1">IFERROR(__xludf.DUMMYFUNCTION("IMPORTRANGE(""https://docs.google.com/spreadsheets/d/1ItG2mGa2ceCfYo0BwxsXqNm01IGEUdYcSSLTEv9YCik/edit?usp=sharing"",""เบิกจ่ายกองทุน!BW29"")"),312500)</f>
        <v>312500</v>
      </c>
      <c r="R380" s="224">
        <f ca="1">IFERROR(__xludf.DUMMYFUNCTION("IMPORTRANGE(""https://docs.google.com/spreadsheets/d/1ItG2mGa2ceCfYo0BwxsXqNm01IGEUdYcSSLTEv9YCik/edit?usp=sharing"",""เบิกจ่ายกองทุน!BX29"")"),312500)</f>
        <v>312500</v>
      </c>
      <c r="S380" s="224">
        <f ca="1">IFERROR(__xludf.DUMMYFUNCTION("IMPORTRANGE(""https://docs.google.com/spreadsheets/d/1ItG2mGa2ceCfYo0BwxsXqNm01IGEUdYcSSLTEv9YCik/edit?usp=sharing"",""เบิกจ่ายกองทุน!BY29"")"),153079)</f>
        <v>153079</v>
      </c>
      <c r="T380" s="224">
        <f ca="1">IF(Q380&gt;0,S380*100/Q380,0)</f>
        <v>48.985280000000003</v>
      </c>
      <c r="U380" s="224">
        <f ca="1">IF(R380&gt;0,S380*100/R380,0)</f>
        <v>48.985280000000003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IFERROR(__xludf.DUMMYFUNCTION("IMPORTRANGE(""https://docs.google.com/spreadsheets/d/1-uDff_7J0KD5mKrp0Vvzr7lt3OU09vwQwhkpOPPYv2Y/edit?usp=sharing"",""งบพรบ!IH29"")"),0)</f>
        <v>0</v>
      </c>
      <c r="M383" s="224">
        <f ca="1">IFERROR(__xludf.DUMMYFUNCTION("IMPORTRANGE(""https://docs.google.com/spreadsheets/d/1-uDff_7J0KD5mKrp0Vvzr7lt3OU09vwQwhkpOPPYv2Y/edit?usp=sharing"",""งบพรบ!IK29"")"),0)</f>
        <v>0</v>
      </c>
      <c r="N383" s="224">
        <f ca="1">IFERROR(__xludf.DUMMYFUNCTION("IMPORTRANGE(""https://docs.google.com/spreadsheets/d/1-uDff_7J0KD5mKrp0Vvzr7lt3OU09vwQwhkpOPPYv2Y/edit?usp=sharing"",""งบพรบ!IM29"")"),0)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IFERROR(__xludf.DUMMYFUNCTION("IMPORTRANGE(""https://docs.google.com/spreadsheets/d/1w5rwWK1o49a35cNtocGL0gxDwhFSTZUQu90BiH9_zqM/edit?usp=sharing"",""RTK!H29"")"),324)</f>
        <v>324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IFERROR(__xludf.DUMMYFUNCTION("IMPORTRANGE(""https://docs.google.com/spreadsheets/d/1w5rwWK1o49a35cNtocGL0gxDwhFSTZUQu90BiH9_zqM/edit?usp=sharing"",""RTK!G29"")"),5000)</f>
        <v>5000</v>
      </c>
      <c r="J386" s="184">
        <f ca="1">IFERROR(__xludf.DUMMYFUNCTION("IMPORTRANGE(""https://docs.google.com/spreadsheets/d/1w5rwWK1o49a35cNtocGL0gxDwhFSTZUQu90BiH9_zqM/edit?usp=sharing"",""RTK!I29"")"),2530)</f>
        <v>2530</v>
      </c>
      <c r="K386" s="224">
        <f ca="1">IF(I386&gt;0,J386*100/I386,0)</f>
        <v>50.6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IFERROR(__xludf.DUMMYFUNCTION("IMPORTRANGE(""https://docs.google.com/spreadsheets/d/1w5rwWK1o49a35cNtocGL0gxDwhFSTZUQu90BiH9_zqM/edit?usp=sharing"",""RTK!L29"")"),0)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IFERROR(__xludf.DUMMYFUNCTION("IMPORTRANGE(""https://docs.google.com/spreadsheets/d/1w5rwWK1o49a35cNtocGL0gxDwhFSTZUQu90BiH9_zqM/edit?usp=sharing"",""RTK!K29"")"),0)</f>
        <v>0</v>
      </c>
      <c r="J388" s="559">
        <f ca="1">IFERROR(__xludf.DUMMYFUNCTION("IMPORTRANGE(""https://docs.google.com/spreadsheets/d/1w5rwWK1o49a35cNtocGL0gxDwhFSTZUQu90BiH9_zqM/edit?usp=sharing"",""RTK!M29"")"),0)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IFERROR(__xludf.DUMMYFUNCTION("IMPORTRANGE(""https://docs.google.com/spreadsheets/d/1ItG2mGa2ceCfYo0BwxsXqNm01IGEUdYcSSLTEv9YCik/edit?usp=sharing"",""เบิกจ่ายกองทุน!CL29"")"),0)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IFERROR(__xludf.DUMMYFUNCTION("IMPORTRANGE(""https://docs.google.com/spreadsheets/d/1ItG2mGa2ceCfYo0BwxsXqNm01IGEUdYcSSLTEv9YCik/edit?usp=sharing"",""เบิกจ่ายกองทุน!CM29"")"),0)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IFERROR(__xludf.DUMMYFUNCTION("IMPORTRANGE(""https://docs.google.com/spreadsheets/d/1ItG2mGa2ceCfYo0BwxsXqNm01IGEUdYcSSLTEv9YCik/edit?usp=sharing"",""เบิกจ่ายกองทุน!CN29"")"),0)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20710</v>
      </c>
      <c r="M413" s="547">
        <f ca="1">M414+M415</f>
        <v>20710</v>
      </c>
      <c r="N413" s="547">
        <f ca="1">N414+N415</f>
        <v>14110</v>
      </c>
      <c r="O413" s="547">
        <f ca="1">IF(L413&gt;0,N413*100/L413,0)</f>
        <v>68.131337518107188</v>
      </c>
      <c r="P413" s="547">
        <f ca="1">IF(M413&gt;0,N413*100/M413,0)</f>
        <v>68.131337518107188</v>
      </c>
      <c r="Q413" s="547">
        <f ca="1">Q414+Q415</f>
        <v>19350</v>
      </c>
      <c r="R413" s="547">
        <f ca="1">R414+R415</f>
        <v>19350</v>
      </c>
      <c r="S413" s="547">
        <f ca="1">S414+S415</f>
        <v>6890</v>
      </c>
      <c r="T413" s="547">
        <f ca="1">IF(Q413&gt;0,S413*100/Q413,0)</f>
        <v>35.60723514211886</v>
      </c>
      <c r="U413" s="547">
        <f ca="1">IF(R413&gt;0,S413*100/R413,0)</f>
        <v>35.60723514211886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20710</v>
      </c>
      <c r="M415" s="224">
        <f ca="1">M418+M421</f>
        <v>20710</v>
      </c>
      <c r="N415" s="224">
        <f ca="1">N418+N421</f>
        <v>14110</v>
      </c>
      <c r="O415" s="224">
        <f ca="1">IF(L415&gt;0,N415*100/L415,0)</f>
        <v>68.131337518107188</v>
      </c>
      <c r="P415" s="224">
        <f ca="1">IF(M415&gt;0,N415*100/M415,0)</f>
        <v>68.131337518107188</v>
      </c>
      <c r="Q415" s="224">
        <f ca="1">Q418+Q421</f>
        <v>19350</v>
      </c>
      <c r="R415" s="224">
        <f ca="1">R418+R421</f>
        <v>19350</v>
      </c>
      <c r="S415" s="224">
        <f ca="1">S418+S421</f>
        <v>6890</v>
      </c>
      <c r="T415" s="224">
        <f ca="1">IF(Q415&gt;0,S415*100/Q415,0)</f>
        <v>35.60723514211886</v>
      </c>
      <c r="U415" s="224">
        <f ca="1">IF(R415&gt;0,S415*100/R415,0)</f>
        <v>35.60723514211886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20710</v>
      </c>
      <c r="M416" s="224">
        <f ca="1">M417+M418</f>
        <v>20710</v>
      </c>
      <c r="N416" s="224">
        <f ca="1">N417+N418</f>
        <v>14110</v>
      </c>
      <c r="O416" s="224">
        <f ca="1">IF(L416&gt;0,N416*100/L416,0)</f>
        <v>68.131337518107188</v>
      </c>
      <c r="P416" s="224">
        <f ca="1">IF(M416&gt;0,N416*100/M416,0)</f>
        <v>68.131337518107188</v>
      </c>
      <c r="Q416" s="224">
        <f ca="1">Q417+Q418</f>
        <v>19350</v>
      </c>
      <c r="R416" s="224">
        <f ca="1">R417+R418</f>
        <v>19350</v>
      </c>
      <c r="S416" s="224">
        <f ca="1">S417+S418</f>
        <v>6890</v>
      </c>
      <c r="T416" s="224">
        <f ca="1">IF(Q416&gt;0,S416*100/Q416,0)</f>
        <v>35.60723514211886</v>
      </c>
      <c r="U416" s="224">
        <f ca="1">IF(R416&gt;0,S416*100/R416,0)</f>
        <v>35.60723514211886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IFERROR(__xludf.DUMMYFUNCTION("IMPORTRANGE(""https://docs.google.com/spreadsheets/d/1-uDff_7J0KD5mKrp0Vvzr7lt3OU09vwQwhkpOPPYv2Y/edit?usp=sharing"",""งบพรบ!IO29"")"),20710)</f>
        <v>20710</v>
      </c>
      <c r="M418" s="224">
        <f ca="1">IFERROR(__xludf.DUMMYFUNCTION("IMPORTRANGE(""https://docs.google.com/spreadsheets/d/1-uDff_7J0KD5mKrp0Vvzr7lt3OU09vwQwhkpOPPYv2Y/edit?usp=sharing"",""งบพรบ!IT29"")"),20710)</f>
        <v>20710</v>
      </c>
      <c r="N418" s="224">
        <f ca="1">IFERROR(__xludf.DUMMYFUNCTION("IMPORTRANGE(""https://docs.google.com/spreadsheets/d/1-uDff_7J0KD5mKrp0Vvzr7lt3OU09vwQwhkpOPPYv2Y/edit?usp=sharing"",""งบพรบ!IV29"")"),14110)</f>
        <v>14110</v>
      </c>
      <c r="O418" s="224">
        <f ca="1">IF(L418&gt;0,N418*100/L418,0)</f>
        <v>68.131337518107188</v>
      </c>
      <c r="P418" s="224">
        <f ca="1">IF(M418&gt;0,N418*100/M418,0)</f>
        <v>68.131337518107188</v>
      </c>
      <c r="Q418" s="224">
        <f ca="1">IFERROR(__xludf.DUMMYFUNCTION("IMPORTRANGE(""https://docs.google.com/spreadsheets/d/1ItG2mGa2ceCfYo0BwxsXqNm01IGEUdYcSSLTEv9YCik/edit?usp=sharing"",""เบิกจ่ายกองทุน!BZ29"")"),19350)</f>
        <v>19350</v>
      </c>
      <c r="R418" s="224">
        <f ca="1">IFERROR(__xludf.DUMMYFUNCTION("IMPORTRANGE(""https://docs.google.com/spreadsheets/d/1ItG2mGa2ceCfYo0BwxsXqNm01IGEUdYcSSLTEv9YCik/edit?usp=sharing"",""เบิกจ่ายกองทุน!CA29"")"),19350)</f>
        <v>19350</v>
      </c>
      <c r="S418" s="224">
        <f ca="1">IFERROR(__xludf.DUMMYFUNCTION("IMPORTRANGE(""https://docs.google.com/spreadsheets/d/1ItG2mGa2ceCfYo0BwxsXqNm01IGEUdYcSSLTEv9YCik/edit?usp=sharing"",""เบิกจ่ายกองทุน!CB29"")"),6890)</f>
        <v>6890</v>
      </c>
      <c r="T418" s="224">
        <f ca="1">IF(Q418&gt;0,S418*100/Q418,0)</f>
        <v>35.60723514211886</v>
      </c>
      <c r="U418" s="224">
        <f ca="1">IF(R418&gt;0,S418*100/R418,0)</f>
        <v>35.60723514211886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IFERROR(__xludf.DUMMYFUNCTION("IMPORTRANGE(""https://docs.google.com/spreadsheets/d/1-uDff_7J0KD5mKrp0Vvzr7lt3OU09vwQwhkpOPPYv2Y/edit?usp=sharing"",""งบพรบ!IR29"")"),0)</f>
        <v>0</v>
      </c>
      <c r="M421" s="224">
        <f ca="1">IFERROR(__xludf.DUMMYFUNCTION("IMPORTRANGE(""https://docs.google.com/spreadsheets/d/1-uDff_7J0KD5mKrp0Vvzr7lt3OU09vwQwhkpOPPYv2Y/edit?usp=sharing"",""งบพรบ!IU29"")"),0)</f>
        <v>0</v>
      </c>
      <c r="N421" s="224">
        <f ca="1">IFERROR(__xludf.DUMMYFUNCTION("IMPORTRANGE(""https://docs.google.com/spreadsheets/d/1-uDff_7J0KD5mKrp0Vvzr7lt3OU09vwQwhkpOPPYv2Y/edit?usp=sharing"",""งบพรบ!IW29"")"),0)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IFERROR(__xludf.DUMMYFUNCTION("IMPORTRANGE(""https://docs.google.com/spreadsheets/d/1eHaY18a8A9IcSdp1K8H6x8fbOy06t2VsZHhMHf-1x7Y/edit?usp=sharing"",""แผน!HJ29"")"),0)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IFERROR(__xludf.DUMMYFUNCTION("IMPORTRANGE(""https://docs.google.com/spreadsheets/d/1eHaY18a8A9IcSdp1K8H6x8fbOy06t2VsZHhMHf-1x7Y/edit?usp=sharing"",""แผน!HK29"")"),0)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IFERROR(__xludf.DUMMYFUNCTION("IMPORTRANGE(""https://docs.google.com/spreadsheets/d/1eHaY18a8A9IcSdp1K8H6x8fbOy06t2VsZHhMHf-1x7Y/edit?usp=sharing"",""แผน!HJ29"")"),0)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IFERROR(__xludf.DUMMYFUNCTION("IMPORTRANGE(""https://docs.google.com/spreadsheets/d/1eHaY18a8A9IcSdp1K8H6x8fbOy06t2VsZHhMHf-1x7Y/edit?usp=sharing"",""แผน!HK29"")"),0)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IFERROR(__xludf.DUMMYFUNCTION("IMPORTRANGE(""https://docs.google.com/spreadsheets/d/1eHaY18a8A9IcSdp1K8H6x8fbOy06t2VsZHhMHf-1x7Y/edit?usp=sharing"",""แผน!HJ29"")"),0)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IFERROR(__xludf.DUMMYFUNCTION("IMPORTRANGE(""https://docs.google.com/spreadsheets/d/1eHaY18a8A9IcSdp1K8H6x8fbOy06t2VsZHhMHf-1x7Y/edit?usp=sharing"",""แผน!HK29"")"),0)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113.86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IFERROR(__xludf.DUMMYFUNCTION("IMPORTRANGE(""https://docs.google.com/spreadsheets/d/1eHaY18a8A9IcSdp1K8H6x8fbOy06t2VsZHhMHf-1x7Y/edit?usp=sharing"",""แผน!HL29"")"),113.86)</f>
        <v>113.86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IFERROR(__xludf.DUMMYFUNCTION("IMPORTRANGE(""https://docs.google.com/spreadsheets/d/1eHaY18a8A9IcSdp1K8H6x8fbOy06t2VsZHhMHf-1x7Y/edit?usp=sharing"",""แผน!HM29"")"),21)</f>
        <v>21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IFERROR(__xludf.DUMMYFUNCTION("IMPORTRANGE(""https://docs.google.com/spreadsheets/d/1-uDff_7J0KD5mKrp0Vvzr7lt3OU09vwQwhkpOPPYv2Y/edit?usp=sharing"",""งบพรบ!HU29"")"),0)</f>
        <v>0</v>
      </c>
      <c r="M498" s="224">
        <f ca="1">IFERROR(__xludf.DUMMYFUNCTION("IMPORTRANGE(""https://docs.google.com/spreadsheets/d/1-uDff_7J0KD5mKrp0Vvzr7lt3OU09vwQwhkpOPPYv2Y/edit?usp=sharing"",""งบพรบ!HZ29"")"),0)</f>
        <v>0</v>
      </c>
      <c r="N498" s="224">
        <f ca="1">IFERROR(__xludf.DUMMYFUNCTION("IMPORTRANGE(""https://docs.google.com/spreadsheets/d/1-uDff_7J0KD5mKrp0Vvzr7lt3OU09vwQwhkpOPPYv2Y/edit?usp=sharing"",""งบพรบ!IB29"")"),0)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IFERROR(__xludf.DUMMYFUNCTION("IMPORTRANGE(""https://docs.google.com/spreadsheets/d/1ItG2mGa2ceCfYo0BwxsXqNm01IGEUdYcSSLTEv9YCik/edit?usp=sharing"",""เบิกจ่ายกองทุน!AF29"")"),0)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IFERROR(__xludf.DUMMYFUNCTION("IMPORTRANGE(""https://docs.google.com/spreadsheets/d/1-uDff_7J0KD5mKrp0Vvzr7lt3OU09vwQwhkpOPPYv2Y/edit?usp=sharing"",""งบพรบ!HX29"")"),0)</f>
        <v>0</v>
      </c>
      <c r="M501" s="224">
        <f ca="1">IFERROR(__xludf.DUMMYFUNCTION("IMPORTRANGE(""https://docs.google.com/spreadsheets/d/1-uDff_7J0KD5mKrp0Vvzr7lt3OU09vwQwhkpOPPYv2Y/edit?usp=sharing"",""งบพรบ!IA29"")"),0)</f>
        <v>0</v>
      </c>
      <c r="N501" s="224">
        <f ca="1">IFERROR(__xludf.DUMMYFUNCTION("IMPORTRANGE(""https://docs.google.com/spreadsheets/d/1-uDff_7J0KD5mKrp0Vvzr7lt3OU09vwQwhkpOPPYv2Y/edit?usp=sharing"",""งบพรบ!IC29"")"),0)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IFERROR(__xludf.DUMMYFUNCTION("IMPORTRANGE(""https://docs.google.com/spreadsheets/d/1eHaY18a8A9IcSdp1K8H6x8fbOy06t2VsZHhMHf-1x7Y/edit?usp=sharing"",""แผน!GX29"")"),0)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IFERROR(__xludf.DUMMYFUNCTION("IMPORTRANGE(""https://docs.google.com/spreadsheets/d/1eHaY18a8A9IcSdp1K8H6x8fbOy06t2VsZHhMHf-1x7Y/edit?usp=sharing"",""แผน!GY29"")"),0)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IFERROR(__xludf.DUMMYFUNCTION("IMPORTRANGE(""https://docs.google.com/spreadsheets/d/1eHaY18a8A9IcSdp1K8H6x8fbOy06t2VsZHhMHf-1x7Y/edit?usp=sharing"",""แผน!GZ29"")"),0)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IFERROR(__xludf.DUMMYFUNCTION("IMPORTRANGE(""https://docs.google.com/spreadsheets/d/1eHaY18a8A9IcSdp1K8H6x8fbOy06t2VsZHhMHf-1x7Y/edit?usp=sharing"",""แผน!HA29"")"),0)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IFERROR(__xludf.DUMMYFUNCTION("IMPORTRANGE(""https://docs.google.com/spreadsheets/d/1eHaY18a8A9IcSdp1K8H6x8fbOy06t2VsZHhMHf-1x7Y/edit?usp=sharing"",""แผน!HB29"")"),0)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IFERROR(__xludf.DUMMYFUNCTION("IMPORTRANGE(""https://docs.google.com/spreadsheets/d/1eHaY18a8A9IcSdp1K8H6x8fbOy06t2VsZHhMHf-1x7Y/edit?usp=sharing"",""แผน!HC29"")"),0)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IFERROR(__xludf.DUMMYFUNCTION("IMPORTRANGE(""https://docs.google.com/spreadsheets/d/1-uDff_7J0KD5mKrp0Vvzr7lt3OU09vwQwhkpOPPYv2Y/edit?usp=sharing"",""งบพรบ!FM29"")"),0)</f>
        <v>0</v>
      </c>
      <c r="M518" s="224">
        <f ca="1">IFERROR(__xludf.DUMMYFUNCTION("IMPORTRANGE(""https://docs.google.com/spreadsheets/d/1-uDff_7J0KD5mKrp0Vvzr7lt3OU09vwQwhkpOPPYv2Y/edit?usp=sharing"",""งบพรบ!FR29"")"),0)</f>
        <v>0</v>
      </c>
      <c r="N518" s="224">
        <f ca="1">IFERROR(__xludf.DUMMYFUNCTION("IMPORTRANGE(""https://docs.google.com/spreadsheets/d/1-uDff_7J0KD5mKrp0Vvzr7lt3OU09vwQwhkpOPPYv2Y/edit?usp=sharing"",""งบพรบ!FT29"")"),0)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IFERROR(__xludf.DUMMYFUNCTION("IMPORTRANGE(""https://docs.google.com/spreadsheets/d/1-uDff_7J0KD5mKrp0Vvzr7lt3OU09vwQwhkpOPPYv2Y/edit?usp=sharing"",""งบพรบ!FP29"")"),0)</f>
        <v>0</v>
      </c>
      <c r="M521" s="224">
        <f ca="1">IFERROR(__xludf.DUMMYFUNCTION("IMPORTRANGE(""https://docs.google.com/spreadsheets/d/1-uDff_7J0KD5mKrp0Vvzr7lt3OU09vwQwhkpOPPYv2Y/edit?usp=sharing"",""งบพรบ!FS29"")"),0)</f>
        <v>0</v>
      </c>
      <c r="N521" s="224">
        <f ca="1">IFERROR(__xludf.DUMMYFUNCTION("IMPORTRANGE(""https://docs.google.com/spreadsheets/d/1-uDff_7J0KD5mKrp0Vvzr7lt3OU09vwQwhkpOPPYv2Y/edit?usp=sharing"",""งบพรบ!FU29"")"),0)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IFERROR(__xludf.DUMMYFUNCTION("IMPORTRANGE(""https://docs.google.com/spreadsheets/d/1-uDff_7J0KD5mKrp0Vvzr7lt3OU09vwQwhkpOPPYv2Y/edit?usp=sharing"",""งบพรบ!FW29"")"),0)</f>
        <v>0</v>
      </c>
      <c r="M539" s="224">
        <f ca="1">IFERROR(__xludf.DUMMYFUNCTION("IMPORTRANGE(""https://docs.google.com/spreadsheets/d/1-uDff_7J0KD5mKrp0Vvzr7lt3OU09vwQwhkpOPPYv2Y/edit?usp=sharing"",""งบพรบ!GB29"")"),0)</f>
        <v>0</v>
      </c>
      <c r="N539" s="224">
        <f ca="1">IFERROR(__xludf.DUMMYFUNCTION("IMPORTRANGE(""https://docs.google.com/spreadsheets/d/1-uDff_7J0KD5mKrp0Vvzr7lt3OU09vwQwhkpOPPYv2Y/edit?usp=sharing"",""งบพรบ!GD29"")"),0)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IFERROR(__xludf.DUMMYFUNCTION("IMPORTRANGE(""https://docs.google.com/spreadsheets/d/1-uDff_7J0KD5mKrp0Vvzr7lt3OU09vwQwhkpOPPYv2Y/edit?usp=sharing"",""งบพรบ!FZ29"")"),0)</f>
        <v>0</v>
      </c>
      <c r="M542" s="224">
        <f ca="1">IFERROR(__xludf.DUMMYFUNCTION("IMPORTRANGE(""https://docs.google.com/spreadsheets/d/1-uDff_7J0KD5mKrp0Vvzr7lt3OU09vwQwhkpOPPYv2Y/edit?usp=sharing"",""งบพรบ!GC29"")"),0)</f>
        <v>0</v>
      </c>
      <c r="N542" s="224">
        <f ca="1">IFERROR(__xludf.DUMMYFUNCTION("IMPORTRANGE(""https://docs.google.com/spreadsheets/d/1-uDff_7J0KD5mKrp0Vvzr7lt3OU09vwQwhkpOPPYv2Y/edit?usp=sharing"",""งบพรบ!GE29"")"),0)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IFERROR(__xludf.DUMMYFUNCTION("IMPORTRANGE(""https://docs.google.com/spreadsheets/d/1-uDff_7J0KD5mKrp0Vvzr7lt3OU09vwQwhkpOPPYv2Y/edit?usp=sharing"",""งบพรบ!GG29"")"),0)</f>
        <v>0</v>
      </c>
      <c r="M560" s="224">
        <f ca="1">IFERROR(__xludf.DUMMYFUNCTION("IMPORTRANGE(""https://docs.google.com/spreadsheets/d/1-uDff_7J0KD5mKrp0Vvzr7lt3OU09vwQwhkpOPPYv2Y/edit?usp=sharing"",""งบพรบ!GL29"")"),0)</f>
        <v>0</v>
      </c>
      <c r="N560" s="224">
        <f ca="1">IFERROR(__xludf.DUMMYFUNCTION("IMPORTRANGE(""https://docs.google.com/spreadsheets/d/1-uDff_7J0KD5mKrp0Vvzr7lt3OU09vwQwhkpOPPYv2Y/edit?usp=sharing"",""งบพรบ!GN29"")"),0)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IFERROR(__xludf.DUMMYFUNCTION("IMPORTRANGE(""https://docs.google.com/spreadsheets/d/1-uDff_7J0KD5mKrp0Vvzr7lt3OU09vwQwhkpOPPYv2Y/edit?usp=sharing"",""งบพรบ!GJ29"")"),0)</f>
        <v>0</v>
      </c>
      <c r="M563" s="224">
        <f ca="1">IFERROR(__xludf.DUMMYFUNCTION("IMPORTRANGE(""https://docs.google.com/spreadsheets/d/1-uDff_7J0KD5mKrp0Vvzr7lt3OU09vwQwhkpOPPYv2Y/edit?usp=sharing"",""งบพรบ!GM29"")"),0)</f>
        <v>0</v>
      </c>
      <c r="N563" s="224">
        <f ca="1">IFERROR(__xludf.DUMMYFUNCTION("IMPORTRANGE(""https://docs.google.com/spreadsheets/d/1-uDff_7J0KD5mKrp0Vvzr7lt3OU09vwQwhkpOPPYv2Y/edit?usp=sharing"",""งบพรบ!GO29"")"),0)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IFERROR(__xludf.DUMMYFUNCTION("IMPORTRANGE(""https://docs.google.com/spreadsheets/d/1-uDff_7J0KD5mKrp0Vvzr7lt3OU09vwQwhkpOPPYv2Y/edit?usp=sharing"",""งบพรบ!GQ29"")"),0)</f>
        <v>0</v>
      </c>
      <c r="M581" s="224">
        <f ca="1">IFERROR(__xludf.DUMMYFUNCTION("IMPORTRANGE(""https://docs.google.com/spreadsheets/d/1-uDff_7J0KD5mKrp0Vvzr7lt3OU09vwQwhkpOPPYv2Y/edit?usp=sharing"",""งบพรบ!GV29"")"),0)</f>
        <v>0</v>
      </c>
      <c r="N581" s="224">
        <f ca="1">IFERROR(__xludf.DUMMYFUNCTION("IMPORTRANGE(""https://docs.google.com/spreadsheets/d/1-uDff_7J0KD5mKrp0Vvzr7lt3OU09vwQwhkpOPPYv2Y/edit?usp=sharing"",""งบพรบ!GX29"")"),0)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IFERROR(__xludf.DUMMYFUNCTION("IMPORTRANGE(""https://docs.google.com/spreadsheets/d/1-uDff_7J0KD5mKrp0Vvzr7lt3OU09vwQwhkpOPPYv2Y/edit?usp=sharing"",""งบพรบ!GT29"")"),0)</f>
        <v>0</v>
      </c>
      <c r="M584" s="224">
        <f ca="1">IFERROR(__xludf.DUMMYFUNCTION("IMPORTRANGE(""https://docs.google.com/spreadsheets/d/1-uDff_7J0KD5mKrp0Vvzr7lt3OU09vwQwhkpOPPYv2Y/edit?usp=sharing"",""งบพรบ!GW29"")"),0)</f>
        <v>0</v>
      </c>
      <c r="N584" s="224">
        <f ca="1">IFERROR(__xludf.DUMMYFUNCTION("IMPORTRANGE(""https://docs.google.com/spreadsheets/d/1-uDff_7J0KD5mKrp0Vvzr7lt3OU09vwQwhkpOPPYv2Y/edit?usp=sharing"",""งบพรบ!GY29"")"),0)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8892</v>
      </c>
      <c r="M599" s="715">
        <f ca="1">M600+M601</f>
        <v>8892</v>
      </c>
      <c r="N599" s="715">
        <f ca="1">N600+N601</f>
        <v>0</v>
      </c>
      <c r="O599" s="715">
        <f ca="1">IF(L599&gt;0,N599*100/L599,0)</f>
        <v>0</v>
      </c>
      <c r="P599" s="715">
        <f ca="1">IF(M599&gt;0,N599*100/M599,0)</f>
        <v>0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8892</v>
      </c>
      <c r="M601" s="558">
        <f ca="1">M604+M607</f>
        <v>8892</v>
      </c>
      <c r="N601" s="558">
        <f ca="1">N604+N607</f>
        <v>0</v>
      </c>
      <c r="O601" s="558">
        <f ca="1">IF(L601&gt;0,N601*100/L601,0)</f>
        <v>0</v>
      </c>
      <c r="P601" s="558">
        <f ca="1">IF(M601&gt;0,N601*100/M601,0)</f>
        <v>0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8892</v>
      </c>
      <c r="M602" s="558">
        <f ca="1">M603+M604</f>
        <v>8892</v>
      </c>
      <c r="N602" s="558">
        <f ca="1">N603+N604</f>
        <v>0</v>
      </c>
      <c r="O602" s="558">
        <f ca="1">IF(L602&gt;0,N602*100/L602,0)</f>
        <v>0</v>
      </c>
      <c r="P602" s="558">
        <f ca="1">IF(M602&gt;0,N602*100/M602,0)</f>
        <v>0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IFERROR(__xludf.DUMMYFUNCTION("IMPORTRANGE(""https://docs.google.com/spreadsheets/d/1-uDff_7J0KD5mKrp0Vvzr7lt3OU09vwQwhkpOPPYv2Y/edit?usp=sharing"",""งบพรบ!HK29"")"),8892)</f>
        <v>8892</v>
      </c>
      <c r="M604" s="558">
        <f ca="1">IFERROR(__xludf.DUMMYFUNCTION("IMPORTRANGE(""https://docs.google.com/spreadsheets/d/1-uDff_7J0KD5mKrp0Vvzr7lt3OU09vwQwhkpOPPYv2Y/edit?usp=sharing"",""งบพรบ!HP29"")"),8892)</f>
        <v>8892</v>
      </c>
      <c r="N604" s="558">
        <f ca="1">IFERROR(__xludf.DUMMYFUNCTION("IMPORTRANGE(""https://docs.google.com/spreadsheets/d/1-uDff_7J0KD5mKrp0Vvzr7lt3OU09vwQwhkpOPPYv2Y/edit?usp=sharing"",""งบพรบ!HR29"")"),0)</f>
        <v>0</v>
      </c>
      <c r="O604" s="558">
        <f ca="1">IF(L604&gt;0,N604*100/L604,0)</f>
        <v>0</v>
      </c>
      <c r="P604" s="558">
        <f ca="1">IF(M604&gt;0,N604*100/M604,0)</f>
        <v>0</v>
      </c>
      <c r="Q604" s="558">
        <f ca="1">IFERROR(__xludf.DUMMYFUNCTION("IMPORTRANGE(""https://docs.google.com/spreadsheets/d/1ItG2mGa2ceCfYo0BwxsXqNm01IGEUdYcSSLTEv9YCik/edit?usp=sharing"",""เบิกจ่ายกองทุน!AV29"")"),0)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IFERROR(__xludf.DUMMYFUNCTION("IMPORTRANGE(""https://docs.google.com/spreadsheets/d/1ItG2mGa2ceCfYo0BwxsXqNm01IGEUdYcSSLTEv9YCik/edit?usp=sharing"",""เบิกจ่ายกองทุน!AW29"")"),0)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IFERROR(__xludf.DUMMYFUNCTION("IMPORTRANGE(""https://docs.google.com/spreadsheets/d/1ItG2mGa2ceCfYo0BwxsXqNm01IGEUdYcSSLTEv9YCik/edit?usp=sharing"",""เบิกจ่ายกองทุน!AX29"")"),0)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IFERROR(__xludf.DUMMYFUNCTION("IMPORTRANGE(""https://docs.google.com/spreadsheets/d/1-uDff_7J0KD5mKrp0Vvzr7lt3OU09vwQwhkpOPPYv2Y/edit?usp=sharing"",""งบพรบ!HN29"")"),0)</f>
        <v>0</v>
      </c>
      <c r="M607" s="558">
        <f ca="1">IFERROR(__xludf.DUMMYFUNCTION("IMPORTRANGE(""https://docs.google.com/spreadsheets/d/1-uDff_7J0KD5mKrp0Vvzr7lt3OU09vwQwhkpOPPYv2Y/edit?usp=sharing"",""งบพรบ!HQ29"")"),0)</f>
        <v>0</v>
      </c>
      <c r="N607" s="558">
        <f ca="1">IFERROR(__xludf.DUMMYFUNCTION("IMPORTRANGE(""https://docs.google.com/spreadsheets/d/1-uDff_7J0KD5mKrp0Vvzr7lt3OU09vwQwhkpOPPYv2Y/edit?usp=sharing"",""งบพรบ!HS29"")"),0)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IFERROR(__xludf.DUMMYFUNCTION("IMPORTRANGE(""https://docs.google.com/spreadsheets/d/1ItG2mGa2ceCfYo0BwxsXqNm01IGEUdYcSSLTEv9YCik/edit?usp=sharing"",""เบิกจ่ายกองทุน!AY29"")"),0)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IFERROR(__xludf.DUMMYFUNCTION("IMPORTRANGE(""https://docs.google.com/spreadsheets/d/1ItG2mGa2ceCfYo0BwxsXqNm01IGEUdYcSSLTEv9YCik/edit?usp=sharing"",""เบิกจ่ายกองทุน!AZ29"")"),0)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IFERROR(__xludf.DUMMYFUNCTION("IMPORTRANGE(""https://docs.google.com/spreadsheets/d/1ItG2mGa2ceCfYo0BwxsXqNm01IGEUdYcSSLTEv9YCik/edit?usp=sharing"",""เบิกจ่ายกองทุน!BA29"")"),0)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1210</v>
      </c>
      <c r="T616" s="547">
        <f ca="1">IF(Q616&gt;0,S616*100/Q616,0)</f>
        <v>17.992565055762082</v>
      </c>
      <c r="U616" s="547">
        <f ca="1">IF(R616&gt;0,S616*100/R616,0)</f>
        <v>17.992565055762082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1210</v>
      </c>
      <c r="T618" s="224">
        <f ca="1">IF(Q618&gt;0,S618*100/Q618,0)</f>
        <v>17.992565055762082</v>
      </c>
      <c r="U618" s="224">
        <f ca="1">IF(R618&gt;0,S618*100/R618,0)</f>
        <v>17.992565055762082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1210</v>
      </c>
      <c r="T619" s="224">
        <f ca="1">IF(Q619&gt;0,S619*100/Q619,0)</f>
        <v>17.992565055762082</v>
      </c>
      <c r="U619" s="224">
        <f ca="1">IF(R619&gt;0,S619*100/R619,0)</f>
        <v>17.992565055762082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IFERROR(__xludf.DUMMYFUNCTION("IMPORTRANGE(""https://docs.google.com/spreadsheets/d/1ItG2mGa2ceCfYo0BwxsXqNm01IGEUdYcSSLTEv9YCik/edit?usp=sharing"",""เบิกจ่ายกองทุน!F29"")"),6725)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IFERROR(__xludf.DUMMYFUNCTION("IMPORTRANGE(""https://docs.google.com/spreadsheets/d/1ItG2mGa2ceCfYo0BwxsXqNm01IGEUdYcSSLTEv9YCik/edit?usp=sharing"",""เบิกจ่ายกองทุน!G29"")"),6725)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IFERROR(__xludf.DUMMYFUNCTION("IMPORTRANGE(""https://docs.google.com/spreadsheets/d/1ItG2mGa2ceCfYo0BwxsXqNm01IGEUdYcSSLTEv9YCik/edit?usp=sharing"",""เบิกจ่ายกองทุน!H29"")"),1210)</f>
        <v>1210</v>
      </c>
      <c r="T621" s="224">
        <f ca="1">IF(Q621&gt;0,S621*100/Q621,0)</f>
        <v>17.992565055762082</v>
      </c>
      <c r="U621" s="224">
        <f ca="1">IF(R621&gt;0,S621*100/R621,0)</f>
        <v>17.992565055762082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IFERROR(__xludf.DUMMYFUNCTION("IMPORTRANGE(""https://docs.google.com/spreadsheets/d/1eHaY18a8A9IcSdp1K8H6x8fbOy06t2VsZHhMHf-1x7Y/edit?usp=sharing"",""แผน!ID29"")"),50)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IFERROR(__xludf.DUMMYFUNCTION("IMPORTRANGE(""https://docs.google.com/spreadsheets/d/1eHaY18a8A9IcSdp1K8H6x8fbOy06t2VsZHhMHf-1x7Y/edit?usp=sharing"",""แผน!IC29"")"),0)</f>
        <v>0</v>
      </c>
      <c r="J627" s="380">
        <v>1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IFERROR(__xludf.DUMMYFUNCTION("IMPORTRANGE(""https://docs.google.com/spreadsheets/d/1eHaY18a8A9IcSdp1K8H6x8fbOy06t2VsZHhMHf-1x7Y/edit?usp=sharing"",""แผน!IC29"")"),0)</f>
        <v>0</v>
      </c>
      <c r="J628" s="380">
        <v>9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917">
        <v>753</v>
      </c>
      <c r="K629" s="224">
        <f ca="1">IF(I$626&gt;0,J629*100/I$626,0)</f>
        <v>1506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IFERROR(__xludf.DUMMYFUNCTION("IMPORTRANGE(""https://docs.google.com/spreadsheets/d/1eHaY18a8A9IcSdp1K8H6x8fbOy06t2VsZHhMHf-1x7Y/edit?usp=sharing"",""แผน!IE29"")"),0)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5600</v>
      </c>
      <c r="R642" s="547">
        <f ca="1">R643+R644</f>
        <v>5600</v>
      </c>
      <c r="S642" s="547">
        <f ca="1">S643+S644</f>
        <v>470</v>
      </c>
      <c r="T642" s="547">
        <f ca="1">IF(Q642&gt;0,S642*100/Q642,0)</f>
        <v>8.3928571428571423</v>
      </c>
      <c r="U642" s="547">
        <f ca="1">IF(R642&gt;0,S642*100/R642,0)</f>
        <v>8.3928571428571423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5600</v>
      </c>
      <c r="R644" s="224">
        <f ca="1">R647+R650</f>
        <v>5600</v>
      </c>
      <c r="S644" s="224">
        <f ca="1">S647+S650</f>
        <v>470</v>
      </c>
      <c r="T644" s="224">
        <f ca="1">IF(Q644&gt;0,S644*100/Q644,0)</f>
        <v>8.3928571428571423</v>
      </c>
      <c r="U644" s="224">
        <f ca="1">IF(R644&gt;0,S644*100/R644,0)</f>
        <v>8.3928571428571423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5600</v>
      </c>
      <c r="R645" s="224">
        <f ca="1">R646+R647</f>
        <v>5600</v>
      </c>
      <c r="S645" s="224">
        <f ca="1">S646+S647</f>
        <v>470</v>
      </c>
      <c r="T645" s="224">
        <f ca="1">IF(Q645&gt;0,S645*100/Q645,0)</f>
        <v>8.3928571428571423</v>
      </c>
      <c r="U645" s="224">
        <f ca="1">IF(R645&gt;0,S645*100/R645,0)</f>
        <v>8.3928571428571423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IFERROR(__xludf.DUMMYFUNCTION("IMPORTRANGE(""https://docs.google.com/spreadsheets/d/1ItG2mGa2ceCfYo0BwxsXqNm01IGEUdYcSSLTEv9YCik/edit?usp=sharing"",""เบิกจ่ายกองทุน!I29"")"),5600)</f>
        <v>5600</v>
      </c>
      <c r="R647" s="224">
        <f ca="1">IFERROR(__xludf.DUMMYFUNCTION("IMPORTRANGE(""https://docs.google.com/spreadsheets/d/1ItG2mGa2ceCfYo0BwxsXqNm01IGEUdYcSSLTEv9YCik/edit?usp=sharing"",""เบิกจ่ายกองทุน!J29"")"),5600)</f>
        <v>5600</v>
      </c>
      <c r="S647" s="224">
        <f ca="1">IFERROR(__xludf.DUMMYFUNCTION("IMPORTRANGE(""https://docs.google.com/spreadsheets/d/1ItG2mGa2ceCfYo0BwxsXqNm01IGEUdYcSSLTEv9YCik/edit?usp=sharing"",""เบิกจ่ายกองทุน!K29"")"),470)</f>
        <v>470</v>
      </c>
      <c r="T647" s="224">
        <f ca="1">IF(Q647&gt;0,S647*100/Q647,0)</f>
        <v>8.3928571428571423</v>
      </c>
      <c r="U647" s="224">
        <f ca="1">IF(R647&gt;0,S647*100/R647,0)</f>
        <v>8.3928571428571423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IFERROR(__xludf.DUMMYFUNCTION("IMPORTRANGE(""https://docs.google.com/spreadsheets/d/1eHaY18a8A9IcSdp1K8H6x8fbOy06t2VsZHhMHf-1x7Y/edit?usp=sharing"",""แผน!IF29"")"),0)</f>
        <v>0</v>
      </c>
      <c r="J652" s="184">
        <f ca="1">IFERROR(__xludf.DUMMYFUNCTION("IMPORTRANGE(""https://docs.google.com/spreadsheets/d/1tdoBKaGub7dwA3U6UFTqxio9LNnvDCQjHKmttSEBsFQ/edit?usp=sharing"",""จัดที่ดิน!AU29"")"),0)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IFERROR(__xludf.DUMMYFUNCTION("IMPORTRANGE(""https://docs.google.com/spreadsheets/d/1eHaY18a8A9IcSdp1K8H6x8fbOy06t2VsZHhMHf-1x7Y/edit?usp=sharing"",""แผน!IG29"")"),0)</f>
        <v>0</v>
      </c>
      <c r="J653" s="184">
        <f ca="1">IFERROR(__xludf.DUMMYFUNCTION("IMPORTRANGE(""https://docs.google.com/spreadsheets/d/1tdoBKaGub7dwA3U6UFTqxio9LNnvDCQjHKmttSEBsFQ/edit?usp=sharing"",""จัดที่ดิน!AW29"")"),0)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IFERROR(__xludf.DUMMYFUNCTION("IMPORTRANGE(""https://docs.google.com/spreadsheets/d/1eHaY18a8A9IcSdp1K8H6x8fbOy06t2VsZHhMHf-1x7Y/edit?usp=sharing"",""แผน!IH29"")"),8)</f>
        <v>8</v>
      </c>
      <c r="J654" s="338">
        <f>J657+J660</f>
        <v>3</v>
      </c>
      <c r="K654" s="547">
        <f ca="1">IF(I654&gt;0,J654*100/I654,0)</f>
        <v>37.5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IFERROR(__xludf.DUMMYFUNCTION("IMPORTRANGE(""https://docs.google.com/spreadsheets/d/1eHaY18a8A9IcSdp1K8H6x8fbOy06t2VsZHhMHf-1x7Y/edit?usp=sharing"",""แผน!II29"")"),4)</f>
        <v>4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IFERROR(__xludf.DUMMYFUNCTION("IMPORTRANGE(""https://docs.google.com/spreadsheets/d/1eHaY18a8A9IcSdp1K8H6x8fbOy06t2VsZHhMHf-1x7Y/edit?usp=sharing"",""แผน!IJ29"")"),4)</f>
        <v>4</v>
      </c>
      <c r="J660" s="380">
        <v>3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IFERROR(__xludf.DUMMYFUNCTION("IMPORTRANGE(""https://docs.google.com/spreadsheets/d/1eHaY18a8A9IcSdp1K8H6x8fbOy06t2VsZHhMHf-1x7Y/edit?usp=sharing"",""แผน!IK29"")"),0)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IFERROR(__xludf.DUMMYFUNCTION("IMPORTRANGE(""https://docs.google.com/spreadsheets/d/1tdoBKaGub7dwA3U6UFTqxio9LNnvDCQjHKmttSEBsFQ/edit?usp=sharing"",""จัดที่ดิน!AY29"")"),0)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IFERROR(__xludf.DUMMYFUNCTION("IMPORTRANGE(""https://docs.google.com/spreadsheets/d/1tdoBKaGub7dwA3U6UFTqxio9LNnvDCQjHKmttSEBsFQ/edit?usp=sharing"",""จัดที่ดิน!AZ29"")"),0)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IFERROR(__xludf.DUMMYFUNCTION("IMPORTRANGE(""https://docs.google.com/spreadsheets/d/1eHaY18a8A9IcSdp1K8H6x8fbOy06t2VsZHhMHf-1x7Y/edit?usp=sharing"",""แผน!IL29"")"),72)</f>
        <v>72</v>
      </c>
      <c r="J673" s="184">
        <f ca="1">IFERROR(__xludf.DUMMYFUNCTION("IMPORTRANGE(""https://docs.google.com/spreadsheets/d/1tdoBKaGub7dwA3U6UFTqxio9LNnvDCQjHKmttSEBsFQ/edit?usp=sharing"",""จัดที่ดิน!BA29"")"),0)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IFERROR(__xludf.DUMMYFUNCTION("IMPORTRANGE(""https://docs.google.com/spreadsheets/d/1eHaY18a8A9IcSdp1K8H6x8fbOy06t2VsZHhMHf-1x7Y/edit?usp=sharing"",""แผน!IM29"")"),1)</f>
        <v>1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IFERROR(__xludf.DUMMYFUNCTION("IMPORTRANGE(""https://docs.google.com/spreadsheets/d/1eHaY18a8A9IcSdp1K8H6x8fbOy06t2VsZHhMHf-1x7Y/edit?usp=sharing"",""แผน!IN29"")"),5)</f>
        <v>5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IFERROR(__xludf.DUMMYFUNCTION("IMPORTRANGE(""https://docs.google.com/spreadsheets/d/1eHaY18a8A9IcSdp1K8H6x8fbOy06t2VsZHhMHf-1x7Y/edit?usp=sharing"",""แผน!IO29"")"),1)</f>
        <v>1</v>
      </c>
      <c r="J676" s="184">
        <f ca="1">IFERROR(__xludf.DUMMYFUNCTION("IMPORTRANGE(""https://docs.google.com/spreadsheets/d/1tdoBKaGub7dwA3U6UFTqxio9LNnvDCQjHKmttSEBsFQ/edit?usp=sharing"",""จัดที่ดิน!BF29"")"),0)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IFERROR(__xludf.DUMMYFUNCTION("IMPORTRANGE(""https://docs.google.com/spreadsheets/d/1tdoBKaGub7dwA3U6UFTqxio9LNnvDCQjHKmttSEBsFQ/edit?usp=sharing"",""จัดที่ดิน!BG29"")"),0)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IFERROR(__xludf.DUMMYFUNCTION("IMPORTRANGE(""https://docs.google.com/spreadsheets/d/1eHaY18a8A9IcSdp1K8H6x8fbOy06t2VsZHhMHf-1x7Y/edit?usp=sharing"",""แผน!IP29"")"),5)</f>
        <v>5</v>
      </c>
      <c r="J678" s="184">
        <f ca="1">IFERROR(__xludf.DUMMYFUNCTION("IMPORTRANGE(""https://docs.google.com/spreadsheets/d/1tdoBKaGub7dwA3U6UFTqxio9LNnvDCQjHKmttSEBsFQ/edit?usp=sharing"",""จัดที่ดิน!BH29"")"),0)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IFERROR(__xludf.DUMMYFUNCTION("IMPORTRANGE(""https://docs.google.com/spreadsheets/d/1eHaY18a8A9IcSdp1K8H6x8fbOy06t2VsZHhMHf-1x7Y/edit?usp=sharing"",""แผน!IQ29"")"),0)</f>
        <v>0</v>
      </c>
      <c r="J679" s="184">
        <f ca="1">IFERROR(__xludf.DUMMYFUNCTION("IMPORTRANGE(""https://docs.google.com/spreadsheets/d/1tdoBKaGub7dwA3U6UFTqxio9LNnvDCQjHKmttSEBsFQ/edit?usp=sharing"",""จัดที่ดิน!BK29"")"),0)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IFERROR(__xludf.DUMMYFUNCTION("IMPORTRANGE(""https://docs.google.com/spreadsheets/d/1tdoBKaGub7dwA3U6UFTqxio9LNnvDCQjHKmttSEBsFQ/edit?usp=sharing"",""จัดที่ดิน!BL29"")"),0)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IFERROR(__xludf.DUMMYFUNCTION("IMPORTRANGE(""https://docs.google.com/spreadsheets/d/1eHaY18a8A9IcSdp1K8H6x8fbOy06t2VsZHhMHf-1x7Y/edit?usp=sharing"",""แผน!IR29"")"),0)</f>
        <v>0</v>
      </c>
      <c r="J681" s="184">
        <f ca="1">IFERROR(__xludf.DUMMYFUNCTION("IMPORTRANGE(""https://docs.google.com/spreadsheets/d/1tdoBKaGub7dwA3U6UFTqxio9LNnvDCQjHKmttSEBsFQ/edit?usp=sharing"",""จัดที่ดิน!BM29"")"),0)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IFERROR(__xludf.DUMMYFUNCTION("IMPORTRANGE(""https://docs.google.com/spreadsheets/d/1eHaY18a8A9IcSdp1K8H6x8fbOy06t2VsZHhMHf-1x7Y/edit?usp=sharing"",""แผน!IS29"")"),0)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2" t="s">
        <v>35</v>
      </c>
      <c r="I689" s="871">
        <f ca="1">I707</f>
        <v>0</v>
      </c>
      <c r="J689" s="871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66220</v>
      </c>
      <c r="R690" s="547">
        <f ca="1">R691+R692</f>
        <v>66220</v>
      </c>
      <c r="S690" s="547">
        <f ca="1">S691+S692</f>
        <v>63934.5</v>
      </c>
      <c r="T690" s="547">
        <f ca="1">IF(Q690&gt;0,S690*100/Q690,0)</f>
        <v>96.548625792811833</v>
      </c>
      <c r="U690" s="547">
        <f ca="1">IF(R690&gt;0,S690*100/R690,0)</f>
        <v>96.548625792811833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66220</v>
      </c>
      <c r="R692" s="224">
        <f ca="1">R695+R698</f>
        <v>66220</v>
      </c>
      <c r="S692" s="224">
        <f ca="1">S695+S698</f>
        <v>63934.5</v>
      </c>
      <c r="T692" s="224">
        <f ca="1">IF(Q692&gt;0,S692*100/Q692,0)</f>
        <v>96.548625792811833</v>
      </c>
      <c r="U692" s="224">
        <f ca="1">IF(R692&gt;0,S692*100/R692,0)</f>
        <v>96.548625792811833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66220</v>
      </c>
      <c r="R693" s="224">
        <f ca="1">R694+R695</f>
        <v>66220</v>
      </c>
      <c r="S693" s="224">
        <f ca="1">S694+S695</f>
        <v>63934.5</v>
      </c>
      <c r="T693" s="224">
        <f ca="1">IF(Q693&gt;0,S693*100/Q693,0)</f>
        <v>96.548625792811833</v>
      </c>
      <c r="U693" s="224">
        <f ca="1">IF(R693&gt;0,S693*100/R693,0)</f>
        <v>96.548625792811833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5" s="224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5" s="224">
        <f ca="1">IFERROR(__xludf.DUMMYFUNCTION("IMPORTRANGE(""https://docs.google.com/spreadsheets/d/1ItG2mGa2ceCfYo0BwxsXqNm01IGEUdYcSSLTEv9YCik/edit?usp=sharing"",""เบิกจ่ายกองทุน!N29"")"),63934.5)</f>
        <v>63934.5</v>
      </c>
      <c r="T695" s="224">
        <f ca="1">IF(Q695&gt;0,S695*100/Q695,0)</f>
        <v>96.548625792811833</v>
      </c>
      <c r="U695" s="224">
        <f ca="1">IF(R695&gt;0,S695*100/R695,0)</f>
        <v>96.548625792811833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IFERROR(__xludf.DUMMYFUNCTION("IMPORTRANGE(""https://docs.google.com/spreadsheets/d/1eHaY18a8A9IcSdp1K8H6x8fbOy06t2VsZHhMHf-1x7Y/edit?usp=sharing"",""แผน!LC29"")"),0)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3</v>
      </c>
      <c r="J701" s="338">
        <f ca="1">J703+J705</f>
        <v>0</v>
      </c>
      <c r="K701" s="547">
        <f ca="1">IF(I701&gt;0,J701*100/I701,0)</f>
        <v>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0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IFERROR(__xludf.DUMMYFUNCTION("IMPORTRANGE(""https://docs.google.com/spreadsheets/d/1eHaY18a8A9IcSdp1K8H6x8fbOy06t2VsZHhMHf-1x7Y/edit?usp=sharing"",""แผน!LJ29"")"),0)</f>
        <v>0</v>
      </c>
      <c r="J703" s="184">
        <f ca="1">IFERROR(__xludf.DUMMYFUNCTION("IMPORTRANGE(""https://docs.google.com/spreadsheets/d/1tdoBKaGub7dwA3U6UFTqxio9LNnvDCQjHKmttSEBsFQ/edit?usp=sharing"",""จัดที่ดิน!AP29"")"),0)</f>
        <v>0</v>
      </c>
      <c r="K703" s="224">
        <f ca="1">IF(I703&gt;0,J703*100/I703,0)</f>
        <v>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IFERROR(__xludf.DUMMYFUNCTION("IMPORTRANGE(""https://docs.google.com/spreadsheets/d/1tdoBKaGub7dwA3U6UFTqxio9LNnvDCQjHKmttSEBsFQ/edit?usp=sharing"",""จัดที่ดิน!AQ29"")"),0)</f>
        <v>0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IFERROR(__xludf.DUMMYFUNCTION("IMPORTRANGE(""https://docs.google.com/spreadsheets/d/1eHaY18a8A9IcSdp1K8H6x8fbOy06t2VsZHhMHf-1x7Y/edit?usp=sharing"",""แผน!LK29"")"),3)</f>
        <v>3</v>
      </c>
      <c r="J705" s="184">
        <f ca="1">IFERROR(__xludf.DUMMYFUNCTION("IMPORTRANGE(""https://docs.google.com/spreadsheets/d/1tdoBKaGub7dwA3U6UFTqxio9LNnvDCQjHKmttSEBsFQ/edit?usp=sharing"",""จัดที่ดิน!AR29"")"),0)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IFERROR(__xludf.DUMMYFUNCTION("IMPORTRANGE(""https://docs.google.com/spreadsheets/d/1tdoBKaGub7dwA3U6UFTqxio9LNnvDCQjHKmttSEBsFQ/edit?usp=sharing"",""จัดที่ดิน!AS29"")"),0)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IFERROR(__xludf.DUMMYFUNCTION("IMPORTRANGE(""https://docs.google.com/spreadsheets/d/1eHaY18a8A9IcSdp1K8H6x8fbOy06t2VsZHhMHf-1x7Y/edit?usp=sharing"",""แผน!LJ29"")"),0)</f>
        <v>0</v>
      </c>
      <c r="J707" s="184">
        <f ca="1">IFERROR(__xludf.DUMMYFUNCTION("IMPORTRANGE(""https://docs.google.com/spreadsheets/d/1tdoBKaGub7dwA3U6UFTqxio9LNnvDCQjHKmttSEBsFQ/edit?usp=sharing"",""จัดที่ดิน!BN29"")"),0)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IFERROR(__xludf.DUMMYFUNCTION("IMPORTRANGE(""https://docs.google.com/spreadsheets/d/1tdoBKaGub7dwA3U6UFTqxio9LNnvDCQjHKmttSEBsFQ/edit?usp=sharing"",""จัดที่ดิน!BO29"")"),0)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IFERROR(__xludf.DUMMYFUNCTION("IMPORTRANGE(""https://docs.google.com/spreadsheets/d/1eHaY18a8A9IcSdp1K8H6x8fbOy06t2VsZHhMHf-1x7Y/edit?usp=sharing"",""แผน!LK29"")"),3)</f>
        <v>3</v>
      </c>
      <c r="J709" s="184">
        <f ca="1">IFERROR(__xludf.DUMMYFUNCTION("IMPORTRANGE(""https://docs.google.com/spreadsheets/d/1tdoBKaGub7dwA3U6UFTqxio9LNnvDCQjHKmttSEBsFQ/edit?usp=sharing"",""จัดที่ดิน!BP29"")"),3)</f>
        <v>3</v>
      </c>
      <c r="K709" s="224">
        <f ca="1">IF(I709&gt;0,J709*100/I709,0)</f>
        <v>100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IFERROR(__xludf.DUMMYFUNCTION("IMPORTRANGE(""https://docs.google.com/spreadsheets/d/1tdoBKaGub7dwA3U6UFTqxio9LNnvDCQjHKmttSEBsFQ/edit?usp=sharing"",""จัดที่ดิน!BQ29"")"),0)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IFERROR(__xludf.DUMMYFUNCTION("IMPORTRANGE(""https://docs.google.com/spreadsheets/d/1eHaY18a8A9IcSdp1K8H6x8fbOy06t2VsZHhMHf-1x7Y/edit?usp=sharing"",""แผน!GA29"")"),128)</f>
        <v>128</v>
      </c>
      <c r="J726" s="552">
        <f>J742+J746+J749</f>
        <v>136</v>
      </c>
      <c r="K726" s="551">
        <f ca="1">IF(I726&gt;0,J726*100/I726,0)</f>
        <v>106.25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IFERROR(__xludf.DUMMYFUNCTION("IMPORTRANGE(""https://docs.google.com/spreadsheets/d/1eHaY18a8A9IcSdp1K8H6x8fbOy06t2VsZHhMHf-1x7Y/edit?usp=sharing"",""แผน!FZ29"")"),1250)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282215.5</v>
      </c>
      <c r="T728" s="547">
        <f ca="1">IF(Q728&gt;0,S728*100/Q728,0)</f>
        <v>27.984521106230229</v>
      </c>
      <c r="U728" s="547">
        <f ca="1">IF(R728&gt;0,S728*100/R728,0)</f>
        <v>27.984521106230229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282215.5</v>
      </c>
      <c r="T730" s="224">
        <f ca="1">IF(Q730&gt;0,S730*100/Q730,0)</f>
        <v>27.984521106230229</v>
      </c>
      <c r="U730" s="224">
        <f ca="1">IF(R730&gt;0,S730*100/R730,0)</f>
        <v>27.984521106230229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282215.5</v>
      </c>
      <c r="T731" s="224">
        <f ca="1">IF(Q731&gt;0,S731*100/Q731,0)</f>
        <v>27.984521106230229</v>
      </c>
      <c r="U731" s="224">
        <f ca="1">IF(R731&gt;0,S731*100/R731,0)</f>
        <v>27.984521106230229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IFERROR(__xludf.DUMMYFUNCTION("IMPORTRANGE(""https://docs.google.com/spreadsheets/d/1ItG2mGa2ceCfYo0BwxsXqNm01IGEUdYcSSLTEv9YCik/edit?usp=sharing"",""เบิกจ่ายกองทุน!Q29"")"),282215.5)</f>
        <v>282215.5</v>
      </c>
      <c r="T733" s="224">
        <f ca="1">IF(Q733&gt;0,S733*100/Q733,0)</f>
        <v>27.984521106230229</v>
      </c>
      <c r="U733" s="224">
        <f ca="1">IF(R733&gt;0,S733*100/R733,0)</f>
        <v>27.984521106230229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IFERROR(__xludf.DUMMYFUNCTION("IMPORTRANGE(""https://docs.google.com/spreadsheets/d/1eHaY18a8A9IcSdp1K8H6x8fbOy06t2VsZHhMHf-1x7Y/edit?usp=sharing"",""แผน!GB29"")"),1000)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107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IFERROR(__xludf.DUMMYFUNCTION("IMPORTRANGE(""https://docs.google.com/spreadsheets/d/1eHaY18a8A9IcSdp1K8H6x8fbOy06t2VsZHhMHf-1x7Y/edit?usp=sharing"",""แผน!GC29"")"),100)</f>
        <v>100</v>
      </c>
      <c r="J742" s="555">
        <v>106</v>
      </c>
      <c r="K742" s="558">
        <f ca="1">IF(I742&gt;0,J742*100/I742,0)</f>
        <v>106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IFERROR(__xludf.DUMMYFUNCTION("IMPORTRANGE(""https://docs.google.com/spreadsheets/d/1eHaY18a8A9IcSdp1K8H6x8fbOy06t2VsZHhMHf-1x7Y/edit?usp=sharing"",""แผน!GD29"")"),250)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27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IFERROR(__xludf.DUMMYFUNCTION("IMPORTRANGE(""https://docs.google.com/spreadsheets/d/1eHaY18a8A9IcSdp1K8H6x8fbOy06t2VsZHhMHf-1x7Y/edit?usp=sharing"",""แผน!GE29"")"),25)</f>
        <v>25</v>
      </c>
      <c r="J746" s="555">
        <v>27</v>
      </c>
      <c r="K746" s="558">
        <f ca="1">IF(I746&gt;0,J746*100/I746,0)</f>
        <v>108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24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IFERROR(__xludf.DUMMYFUNCTION("IMPORTRANGE(""https://docs.google.com/spreadsheets/d/1eHaY18a8A9IcSdp1K8H6x8fbOy06t2VsZHhMHf-1x7Y/edit?usp=sharing"",""แผน!GF29"")"),3)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IFERROR(__xludf.DUMMYFUNCTION("IMPORTRANGE(""https://docs.google.com/spreadsheets/d/1eHaY18a8A9IcSdp1K8H6x8fbOy06t2VsZHhMHf-1x7Y/edit?usp=sharing"",""แผน!GB29"")"),1000)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IFERROR(__xludf.DUMMYFUNCTION("IMPORTRANGE(""https://docs.google.com/spreadsheets/d/1eHaY18a8A9IcSdp1K8H6x8fbOy06t2VsZHhMHf-1x7Y/edit?usp=sharing"",""แผน!GD29"")"),250)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50</v>
      </c>
      <c r="J758" s="552">
        <f>J772</f>
        <v>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100</v>
      </c>
      <c r="J759" s="552">
        <f>J774</f>
        <v>100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398800</v>
      </c>
      <c r="R760" s="547">
        <f ca="1">R761+R762</f>
        <v>398800</v>
      </c>
      <c r="S760" s="547">
        <f ca="1">S761+S762</f>
        <v>184383.5</v>
      </c>
      <c r="T760" s="547">
        <f ca="1">IF(Q760&gt;0,S760*100/Q760,0)</f>
        <v>46.234578736208626</v>
      </c>
      <c r="U760" s="547">
        <f ca="1">IF(R760&gt;0,S760*100/R760,0)</f>
        <v>46.234578736208626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398800</v>
      </c>
      <c r="R762" s="224">
        <f ca="1">R765+R768</f>
        <v>398800</v>
      </c>
      <c r="S762" s="224">
        <f ca="1">S765+S768</f>
        <v>184383.5</v>
      </c>
      <c r="T762" s="224">
        <f ca="1">IF(Q762&gt;0,S762*100/Q762,0)</f>
        <v>46.234578736208626</v>
      </c>
      <c r="U762" s="224">
        <f ca="1">IF(R762&gt;0,S762*100/R762,0)</f>
        <v>46.234578736208626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398800</v>
      </c>
      <c r="R763" s="224">
        <f ca="1">R764+R765</f>
        <v>398800</v>
      </c>
      <c r="S763" s="224">
        <f ca="1">S764+S765</f>
        <v>184383.5</v>
      </c>
      <c r="T763" s="224">
        <f ca="1">IF(Q763&gt;0,S763*100/Q763,0)</f>
        <v>46.234578736208626</v>
      </c>
      <c r="U763" s="224">
        <f ca="1">IF(R763&gt;0,S763*100/R763,0)</f>
        <v>46.234578736208626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IFERROR(__xludf.DUMMYFUNCTION("IMPORTRANGE(""https://docs.google.com/spreadsheets/d/1ItG2mGa2ceCfYo0BwxsXqNm01IGEUdYcSSLTEv9YCik/edit?usp=sharing"",""เบิกจ่ายกองทุน!AA29"")"),398800)</f>
        <v>398800</v>
      </c>
      <c r="R765" s="224">
        <f ca="1">IFERROR(__xludf.DUMMYFUNCTION("IMPORTRANGE(""https://docs.google.com/spreadsheets/d/1ItG2mGa2ceCfYo0BwxsXqNm01IGEUdYcSSLTEv9YCik/edit?usp=sharing"",""เบิกจ่ายกองทุน!AB29"")"),398800)</f>
        <v>398800</v>
      </c>
      <c r="S765" s="224">
        <f ca="1">IFERROR(__xludf.DUMMYFUNCTION("IMPORTRANGE(""https://docs.google.com/spreadsheets/d/1ItG2mGa2ceCfYo0BwxsXqNm01IGEUdYcSSLTEv9YCik/edit?usp=sharing"",""เบิกจ่ายกองทุน!AC29"")"),184383.5)</f>
        <v>184383.5</v>
      </c>
      <c r="T765" s="224">
        <f ca="1">IF(Q765&gt;0,S765*100/Q765,0)</f>
        <v>46.234578736208626</v>
      </c>
      <c r="U765" s="224">
        <f ca="1">IF(R765&gt;0,S765*100/R765,0)</f>
        <v>46.234578736208626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IFERROR(__xludf.DUMMYFUNCTION("IMPORTRANGE(""https://docs.google.com/spreadsheets/d/1eHaY18a8A9IcSdp1K8H6x8fbOy06t2VsZHhMHf-1x7Y/edit?usp=sharing"",""แผน!FI29"")"),2)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IFERROR(__xludf.DUMMYFUNCTION("IMPORTRANGE(""https://docs.google.com/spreadsheets/d/1eHaY18a8A9IcSdp1K8H6x8fbOy06t2VsZHhMHf-1x7Y/edit?usp=sharing"",""แผน!FQ29"")"),50)</f>
        <v>50</v>
      </c>
      <c r="J772" s="380">
        <v>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IFERROR(__xludf.DUMMYFUNCTION("IMPORTRANGE(""https://docs.google.com/spreadsheets/d/1eHaY18a8A9IcSdp1K8H6x8fbOy06t2VsZHhMHf-1x7Y/edit?usp=sharing"",""แผน!FR29"")"),100)</f>
        <v>100</v>
      </c>
      <c r="J774" s="380">
        <v>100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IFERROR(__xludf.DUMMYFUNCTION("IMPORTRANGE(""https://docs.google.com/spreadsheets/d/1eHaY18a8A9IcSdp1K8H6x8fbOy06t2VsZHhMHf-1x7Y/edit?usp=sharing"",""แผน!FS29"")"),100)</f>
        <v>100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IFERROR(__xludf.DUMMYFUNCTION("IMPORTRANGE(""https://docs.google.com/spreadsheets/d/1eHaY18a8A9IcSdp1K8H6x8fbOy06t2VsZHhMHf-1x7Y/edit?usp=sharing"",""แผน!FT29"")"),50)</f>
        <v>50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IFERROR(__xludf.DUMMYFUNCTION("IMPORTRANGE(""https://docs.google.com/spreadsheets/d/10OvvATaaLtwErnr3qtWFcTmtbfpFEt5Bsqel9sXx0uE/edit?usp=sharing"",""งานกองทุน!D29"")"),3157209.19)</f>
        <v>3157209.19</v>
      </c>
      <c r="J778" s="184">
        <f ca="1">IFERROR(__xludf.DUMMYFUNCTION("IMPORTRANGE(""https://docs.google.com/spreadsheets/d/10OvvATaaLtwErnr3qtWFcTmtbfpFEt5Bsqel9sXx0uE/edit?usp=sharing"",""งานกองทุน!F29"")"),2034273.76)</f>
        <v>2034273.76</v>
      </c>
      <c r="K778" s="224">
        <f ca="1">IF(I778&gt;0,J778*100/I778,0)</f>
        <v>64.432656741379873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IFERROR(__xludf.DUMMYFUNCTION("IMPORTRANGE(""https://docs.google.com/spreadsheets/d/10OvvATaaLtwErnr3qtWFcTmtbfpFEt5Bsqel9sXx0uE/edit?usp=sharing"",""งานกองทุน!C29"")"),136)</f>
        <v>136</v>
      </c>
      <c r="J779" s="184">
        <f ca="1">IFERROR(__xludf.DUMMYFUNCTION("IMPORTRANGE(""https://docs.google.com/spreadsheets/d/10OvvATaaLtwErnr3qtWFcTmtbfpFEt5Bsqel9sXx0uE/edit?usp=sharing"",""งานกองทุน!E29"")"),169)</f>
        <v>169</v>
      </c>
      <c r="K779" s="224">
        <f ca="1">IF(I779&gt;0,J779*100/I779,0)</f>
        <v>124.26470588235294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4">
        <f ca="1">IFERROR(__xludf.DUMMYFUNCTION("IMPORTRANGE(""https://docs.google.com/spreadsheets/d/10OvvATaaLtwErnr3qtWFcTmtbfpFEt5Bsqel9sXx0uE/edit?usp=sharing"",""งานกองทุน!K29"")"),1603684.8)</f>
        <v>1603684.8</v>
      </c>
      <c r="K780" s="224">
        <f ca="1">IF(I780&gt;0,J780*100/I780,0)</f>
        <v>8.4130644257013589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IFERROR(__xludf.DUMMYFUNCTION("IMPORTRANGE(""https://docs.google.com/spreadsheets/d/10OvvATaaLtwErnr3qtWFcTmtbfpFEt5Bsqel9sXx0uE/edit?usp=sharing"",""งานกองทุน!H29"")"),683)</f>
        <v>683</v>
      </c>
      <c r="J781" s="184">
        <f ca="1">IFERROR(__xludf.DUMMYFUNCTION("IMPORTRANGE(""https://docs.google.com/spreadsheets/d/10OvvATaaLtwErnr3qtWFcTmtbfpFEt5Bsqel9sXx0uE/edit?usp=sharing"",""งานกองทุน!J29"")"),329)</f>
        <v>329</v>
      </c>
      <c r="K781" s="224">
        <f ca="1">IF(I781&gt;0,J781*100/I781,0)</f>
        <v>48.16983894582723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4">
        <f ca="1">IFERROR(__xludf.DUMMYFUNCTION("IMPORTRANGE(""https://docs.google.com/spreadsheets/d/10OvvATaaLtwErnr3qtWFcTmtbfpFEt5Bsqel9sXx0uE/edit?usp=sharing"",""งานกองทุน!P29"")"),181736.53)</f>
        <v>181736.53</v>
      </c>
      <c r="K782" s="224">
        <f ca="1">IF(I782&gt;0,J782*100/I782,0)</f>
        <v>16.934440278341018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IFERROR(__xludf.DUMMYFUNCTION("IMPORTRANGE(""https://docs.google.com/spreadsheets/d/10OvvATaaLtwErnr3qtWFcTmtbfpFEt5Bsqel9sXx0uE/edit?usp=sharing"",""งานกองทุน!M29"")"),63)</f>
        <v>63</v>
      </c>
      <c r="J783" s="184">
        <f ca="1">IFERROR(__xludf.DUMMYFUNCTION("IMPORTRANGE(""https://docs.google.com/spreadsheets/d/10OvvATaaLtwErnr3qtWFcTmtbfpFEt5Bsqel9sXx0uE/edit?usp=sharing"",""งานกองทุน!O29"")"),38)</f>
        <v>38</v>
      </c>
      <c r="K783" s="224">
        <f ca="1">IF(I783&gt;0,J783*100/I783,0)</f>
        <v>60.317460317460316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4">
        <f ca="1">IFERROR(__xludf.DUMMYFUNCTION("IMPORTRANGE(""https://docs.google.com/spreadsheets/d/10OvvATaaLtwErnr3qtWFcTmtbfpFEt5Bsqel9sXx0uE/edit?usp=sharing"",""งานกองทุน!U29"")"),5250000)</f>
        <v>5250000</v>
      </c>
      <c r="K784" s="224">
        <f ca="1">IF(I784&gt;0,J784*100/I784,0)</f>
        <v>35.046728971962615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IFERROR(__xludf.DUMMYFUNCTION("IMPORTRANGE(""https://docs.google.com/spreadsheets/d/10OvvATaaLtwErnr3qtWFcTmtbfpFEt5Bsqel9sXx0uE/edit?usp=sharing"",""งานกองทุน!R29"")"),535)</f>
        <v>535</v>
      </c>
      <c r="J785" s="188">
        <f ca="1">IFERROR(__xludf.DUMMYFUNCTION("IMPORTRANGE(""https://docs.google.com/spreadsheets/d/10OvvATaaLtwErnr3qtWFcTmtbfpFEt5Bsqel9sXx0uE/edit?usp=sharing"",""งานกองทุน!T29"")"),116)</f>
        <v>116</v>
      </c>
      <c r="K785" s="508">
        <f ca="1">IF(I785&gt;0,J785*100/I785,0)</f>
        <v>21.682242990654206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AE9B1-6745-4A39-B4DA-7F6D8919364C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59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345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4624379</v>
      </c>
      <c r="M18" s="755">
        <f ca="1">M19+M20</f>
        <v>5004103</v>
      </c>
      <c r="N18" s="755">
        <f ca="1">N19+N20</f>
        <v>4308114.3599999994</v>
      </c>
      <c r="O18" s="755">
        <f ca="1">IF(L18&gt;0,N18*100/L18,0)</f>
        <v>93.160927337486811</v>
      </c>
      <c r="P18" s="755">
        <f ca="1">IF(M18&gt;0,N18*100/M18,0)</f>
        <v>86.091640399887837</v>
      </c>
      <c r="Q18" s="755">
        <f ca="1">Q19+Q20</f>
        <v>4834234.24</v>
      </c>
      <c r="R18" s="755">
        <f ca="1">R19+R20</f>
        <v>4846134</v>
      </c>
      <c r="S18" s="755">
        <f ca="1">S19+S20</f>
        <v>3278821.2</v>
      </c>
      <c r="T18" s="755">
        <f ca="1">IF(Q18&gt;0,S18*100/Q18,0)</f>
        <v>67.825037787163581</v>
      </c>
      <c r="U18" s="755">
        <f ca="1">IF(R18&gt;0,S18*100/R18,0)</f>
        <v>67.658492315730442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4624379</v>
      </c>
      <c r="M20" s="794">
        <f ca="1">M23+M26</f>
        <v>5004103</v>
      </c>
      <c r="N20" s="794">
        <f ca="1">N23+N26</f>
        <v>4308114.3599999994</v>
      </c>
      <c r="O20" s="794">
        <f ca="1">IF(L20&gt;0,N20*100/L20,0)</f>
        <v>93.160927337486811</v>
      </c>
      <c r="P20" s="794">
        <f ca="1">IF(M20&gt;0,N20*100/M20,0)</f>
        <v>86.091640399887837</v>
      </c>
      <c r="Q20" s="794">
        <f ca="1">Q23+Q26</f>
        <v>4834234.24</v>
      </c>
      <c r="R20" s="794">
        <f ca="1">R23+R26</f>
        <v>4846134</v>
      </c>
      <c r="S20" s="794">
        <f ca="1">S23+S26</f>
        <v>3278821.2</v>
      </c>
      <c r="T20" s="794">
        <f ca="1">IF(Q20&gt;0,S20*100/Q20,0)</f>
        <v>67.825037787163581</v>
      </c>
      <c r="U20" s="794">
        <f ca="1">IF(R20&gt;0,S20*100/R20,0)</f>
        <v>67.658492315730442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4144379</v>
      </c>
      <c r="M21" s="224">
        <f ca="1">M22+M23</f>
        <v>4604103</v>
      </c>
      <c r="N21" s="224">
        <f ca="1">N22+N23</f>
        <v>3908114.36</v>
      </c>
      <c r="O21" s="224">
        <f ca="1">IF(L21&gt;0,N21*100/L21,0)</f>
        <v>94.299154589867385</v>
      </c>
      <c r="P21" s="224">
        <f ca="1">IF(M21&gt;0,N21*100/M21,0)</f>
        <v>84.883295616974692</v>
      </c>
      <c r="Q21" s="224">
        <f ca="1">Q22+Q23</f>
        <v>4574234.24</v>
      </c>
      <c r="R21" s="224">
        <f ca="1">R22+R23</f>
        <v>4586134</v>
      </c>
      <c r="S21" s="224">
        <f ca="1">S22+S23</f>
        <v>3278821.2</v>
      </c>
      <c r="T21" s="224">
        <f ca="1">IF(Q21&gt;0,S21*100/Q21,0)</f>
        <v>71.680220731328347</v>
      </c>
      <c r="U21" s="224">
        <f ca="1">IF(R21&gt;0,S21*100/R21,0)</f>
        <v>71.49423021656149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4144379</v>
      </c>
      <c r="M23" s="224">
        <f ca="1">M49+M64+M77+M99+M122+M144+M162+M191+M178+M271+M287+M308+M325+M338+M361+M380+M418+M498+M518+M539+M560+M581+M604+M621+M647+M695+M719+M733+M765</f>
        <v>4604103</v>
      </c>
      <c r="N23" s="224">
        <f ca="1">N49+N64+N77+N99+N122+N144+N162+N191+N178+N271+N287+N308+N325+N338+N361+N380+N418+N498+N518+N539+N560+N581+N604+N621+N647+N695+N719+N733+N765</f>
        <v>3908114.36</v>
      </c>
      <c r="O23" s="224">
        <f ca="1">IF(L23&gt;0,N23*100/L23,0)</f>
        <v>94.299154589867385</v>
      </c>
      <c r="P23" s="224">
        <f ca="1">IF(M23&gt;0,N23*100/M23,0)</f>
        <v>84.883295616974692</v>
      </c>
      <c r="Q23" s="224">
        <f ca="1">Q77+Q99+Q122+Q144+Q162+Q178+Q191+Q271+Q287+Q308+Q338+Q380+Q397+Q418+Q498+Q604+Q621+Q647+Q695+Q719+Q733+Q765</f>
        <v>4574234.24</v>
      </c>
      <c r="R23" s="224">
        <f ca="1">R77+R99+R122+R144+R162+R178+R191+R271+R287+R308+R338+R380+R397+R418+R498+R604+R621+R647+R695+R719+R733+R765</f>
        <v>4586134</v>
      </c>
      <c r="S23" s="224">
        <f ca="1">S77+S99+S122+S144+S162+S178+S191+S271+S287+S308+S338+S380+S397+S418+S498+S604+S621+S647+S695+S719+S733+S765</f>
        <v>3278821.2</v>
      </c>
      <c r="T23" s="224">
        <f ca="1">IF(Q23&gt;0,S23*100/Q23,0)</f>
        <v>71.680220731328347</v>
      </c>
      <c r="U23" s="224">
        <f ca="1">IF(R23&gt;0,S23*100/R23,0)</f>
        <v>71.49423021656149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480000</v>
      </c>
      <c r="M24" s="224">
        <f ca="1">M25+M26</f>
        <v>400000</v>
      </c>
      <c r="N24" s="224">
        <f ca="1">N25+N26</f>
        <v>400000</v>
      </c>
      <c r="O24" s="224">
        <f ca="1">IF(L24&gt;0,N24*100/L24,0)</f>
        <v>83.333333333333329</v>
      </c>
      <c r="P24" s="224">
        <f ca="1">IF(M24&gt;0,N24*100/M24,0)</f>
        <v>100</v>
      </c>
      <c r="Q24" s="224">
        <f ca="1">Q25+Q26</f>
        <v>260000</v>
      </c>
      <c r="R24" s="224">
        <f ca="1">R25+R26</f>
        <v>260000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480000</v>
      </c>
      <c r="M26" s="224">
        <f ca="1">M52+M67+M80+M102+M125+M147+M165+M194+M181+M274+M290+M311+M328+M341+M364+M383+M421+M501+M521+M542+M563+M584+M607+M624+M650+M698+M722+M736+M768</f>
        <v>400000</v>
      </c>
      <c r="N26" s="224">
        <f ca="1">N52+N67+N80+N102+N125+N147+N165+N194+N181+N274+N290+N311+N328+N341+N364+N383+N421+N501+N521+N542+N563+N584+N607+N624+N650+N698+N722+N736+N768</f>
        <v>400000</v>
      </c>
      <c r="O26" s="224">
        <f ca="1">IF(L26&gt;0,N26*100/L26,0)</f>
        <v>83.333333333333329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260000</v>
      </c>
      <c r="R26" s="83">
        <f ca="1">R80+R102+R125+R147+R165+R181+R194+R274+R290+R311+R341+R383+R400+R421+R501+R607+R624+R650+R698+R722+R736+R768</f>
        <v>260000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3969686</v>
      </c>
      <c r="M40" s="790">
        <f ca="1">M44+M59+M72+M94+M125+M139+M157+M173+M186+M266+M282+M303+M320+M333+M356</f>
        <v>4346410</v>
      </c>
      <c r="N40" s="790">
        <f ca="1">N44+N59+N72+N94+N125+N139+N157+N173+N186+N266+N282+N303+N320+N333+N356</f>
        <v>3812045.59</v>
      </c>
      <c r="O40" s="790">
        <f ca="1">IF(L40&gt;0,N40*100/L40,0)</f>
        <v>96.028894728701459</v>
      </c>
      <c r="P40" s="790">
        <f ca="1">IF(M40&gt;0,N40*100/M40,0)</f>
        <v>87.705614288573784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817176</v>
      </c>
      <c r="M44" s="784">
        <f ca="1">M45+M46</f>
        <v>872890</v>
      </c>
      <c r="N44" s="784">
        <f ca="1">N45+N46</f>
        <v>798168</v>
      </c>
      <c r="O44" s="784">
        <f ca="1">IF(L44&gt;0,N44*100/L44,0)</f>
        <v>97.673940497518288</v>
      </c>
      <c r="P44" s="784">
        <f ca="1">IF(M44&gt;0,N44*100/M44,0)</f>
        <v>91.439700305880464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817176</v>
      </c>
      <c r="M46" s="778">
        <f ca="1">M49+M52</f>
        <v>872890</v>
      </c>
      <c r="N46" s="778">
        <f ca="1">N49+N52</f>
        <v>798168</v>
      </c>
      <c r="O46" s="778">
        <f ca="1">IF(L46&gt;0,N46*100/L46,0)</f>
        <v>97.673940497518288</v>
      </c>
      <c r="P46" s="778">
        <f ca="1">IF(M46&gt;0,N46*100/M46,0)</f>
        <v>91.439700305880464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817176</v>
      </c>
      <c r="M47" s="224">
        <f ca="1">M48+M49</f>
        <v>872890</v>
      </c>
      <c r="N47" s="224">
        <f ca="1">N48+N49</f>
        <v>798168</v>
      </c>
      <c r="O47" s="224">
        <f ca="1">IF(L47&gt;0,N47*100/L47,0)</f>
        <v>97.673940497518288</v>
      </c>
      <c r="P47" s="224">
        <f ca="1">IF(M47&gt;0,N47*100/M47,0)</f>
        <v>91.439700305880464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IFERROR(__xludf.DUMMYFUNCTION("IMPORTRANGE(""https://docs.google.com/spreadsheets/d/1-uDff_7J0KD5mKrp0Vvzr7lt3OU09vwQwhkpOPPYv2Y/edit?usp=sharing"",""งบพรบ!P30"")"),817176)</f>
        <v>817176</v>
      </c>
      <c r="M49" s="224">
        <f ca="1">IFERROR(__xludf.DUMMYFUNCTION("IMPORTRANGE(""https://docs.google.com/spreadsheets/d/1-uDff_7J0KD5mKrp0Vvzr7lt3OU09vwQwhkpOPPYv2Y/edit?usp=sharing"",""งบพรบ!V30"")"),872890)</f>
        <v>872890</v>
      </c>
      <c r="N49" s="224">
        <f ca="1">IFERROR(__xludf.DUMMYFUNCTION("IMPORTRANGE(""https://docs.google.com/spreadsheets/d/1-uDff_7J0KD5mKrp0Vvzr7lt3OU09vwQwhkpOPPYv2Y/edit?usp=sharing"",""งบพรบ!Y30"")"),798168)</f>
        <v>798168</v>
      </c>
      <c r="O49" s="224">
        <f ca="1">IF(L49&gt;0,N49*100/L49,0)</f>
        <v>97.673940497518288</v>
      </c>
      <c r="P49" s="224">
        <f ca="1">IF(M49&gt;0,N49*100/M49,0)</f>
        <v>91.439700305880464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IFERROR(__xludf.DUMMYFUNCTION("IMPORTRANGE(""https://docs.google.com/spreadsheets/d/1-uDff_7J0KD5mKrp0Vvzr7lt3OU09vwQwhkpOPPYv2Y/edit?usp=sharing"",""งบพรบ!S30"")"),0)</f>
        <v>0</v>
      </c>
      <c r="M52" s="224">
        <f ca="1">IFERROR(__xludf.DUMMYFUNCTION("IMPORTRANGE(""https://docs.google.com/spreadsheets/d/1-uDff_7J0KD5mKrp0Vvzr7lt3OU09vwQwhkpOPPYv2Y/edit?usp=sharing"",""งบพรบ!W30"")"),0)</f>
        <v>0</v>
      </c>
      <c r="N52" s="224">
        <f ca="1">IFERROR(__xludf.DUMMYFUNCTION("IMPORTRANGE(""https://docs.google.com/spreadsheets/d/1-uDff_7J0KD5mKrp0Vvzr7lt3OU09vwQwhkpOPPYv2Y/edit?usp=sharing"",""งบพรบ!Z30"")"),0)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1273900</v>
      </c>
      <c r="M59" s="772">
        <f ca="1">M60+M61</f>
        <v>1213900</v>
      </c>
      <c r="N59" s="772">
        <f ca="1">N60+N61</f>
        <v>1200452.23</v>
      </c>
      <c r="O59" s="772">
        <f ca="1">IF(L59&gt;0,N59*100/L59,0)</f>
        <v>94.234416359211863</v>
      </c>
      <c r="P59" s="772">
        <f ca="1">IF(M59&gt;0,N59*100/M59,0)</f>
        <v>98.89218469396161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1273900</v>
      </c>
      <c r="M61" s="766">
        <f ca="1">M64+M67</f>
        <v>1213900</v>
      </c>
      <c r="N61" s="766">
        <f ca="1">N64+N67</f>
        <v>1200452.23</v>
      </c>
      <c r="O61" s="766">
        <f ca="1">IF(L61&gt;0,N61*100/L61,0)</f>
        <v>94.234416359211863</v>
      </c>
      <c r="P61" s="766">
        <f ca="1">IF(M61&gt;0,N61*100/M61,0)</f>
        <v>98.89218469396161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793900</v>
      </c>
      <c r="M62" s="224">
        <f ca="1">M63+M64</f>
        <v>813900</v>
      </c>
      <c r="N62" s="224">
        <f ca="1">N63+N64</f>
        <v>800452.23</v>
      </c>
      <c r="O62" s="224">
        <f ca="1">IF(L62&gt;0,N62*100/L62,0)</f>
        <v>100.82532182894572</v>
      </c>
      <c r="P62" s="224">
        <f ca="1">IF(M62&gt;0,N62*100/M62,0)</f>
        <v>98.347736822705485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IFERROR(__xludf.DUMMYFUNCTION("IMPORTRANGE(""https://docs.google.com/spreadsheets/d/1-uDff_7J0KD5mKrp0Vvzr7lt3OU09vwQwhkpOPPYv2Y/edit?usp=sharing"",""งบพรบ!AC30"")"),793900)</f>
        <v>793900</v>
      </c>
      <c r="M64" s="224">
        <f ca="1">IFERROR(__xludf.DUMMYFUNCTION("IMPORTRANGE(""https://docs.google.com/spreadsheets/d/1-uDff_7J0KD5mKrp0Vvzr7lt3OU09vwQwhkpOPPYv2Y/edit?usp=sharing"",""งบพรบ!AH30"")"),813900)</f>
        <v>813900</v>
      </c>
      <c r="N64" s="224">
        <f ca="1">IFERROR(__xludf.DUMMYFUNCTION("IMPORTRANGE(""https://docs.google.com/spreadsheets/d/1-uDff_7J0KD5mKrp0Vvzr7lt3OU09vwQwhkpOPPYv2Y/edit?usp=sharing"",""งบพรบ!AJ30"")"),800452.23)</f>
        <v>800452.23</v>
      </c>
      <c r="O64" s="224">
        <f ca="1">IF(L64&gt;0,N64*100/L64,0)</f>
        <v>100.82532182894572</v>
      </c>
      <c r="P64" s="224">
        <f ca="1">IF(M64&gt;0,N64*100/M64,0)</f>
        <v>98.347736822705485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480000</v>
      </c>
      <c r="M65" s="224">
        <f ca="1">M66+M67</f>
        <v>400000</v>
      </c>
      <c r="N65" s="224">
        <f ca="1">N66+N67</f>
        <v>400000</v>
      </c>
      <c r="O65" s="224">
        <f ca="1">IF(L65&gt;0,N65*100/L65,0)</f>
        <v>83.333333333333329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IFERROR(__xludf.DUMMYFUNCTION("IMPORTRANGE(""https://docs.google.com/spreadsheets/d/1-uDff_7J0KD5mKrp0Vvzr7lt3OU09vwQwhkpOPPYv2Y/edit?usp=sharing"",""งบพรบ!AF30"")"),480000)</f>
        <v>480000</v>
      </c>
      <c r="M67" s="508">
        <f ca="1">IFERROR(__xludf.DUMMYFUNCTION("IMPORTRANGE(""https://docs.google.com/spreadsheets/d/1-uDff_7J0KD5mKrp0Vvzr7lt3OU09vwQwhkpOPPYv2Y/edit?usp=sharing"",""งบพรบ!AI30"")"),400000)</f>
        <v>400000</v>
      </c>
      <c r="N67" s="508">
        <f ca="1">IFERROR(__xludf.DUMMYFUNCTION("IMPORTRANGE(""https://docs.google.com/spreadsheets/d/1-uDff_7J0KD5mKrp0Vvzr7lt3OU09vwQwhkpOPPYv2Y/edit?usp=sharing"",""งบพรบ!AK30"")"),400000)</f>
        <v>400000</v>
      </c>
      <c r="O67" s="508">
        <f ca="1">IF(L67&gt;0,N67*100/L67,0)</f>
        <v>83.333333333333329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149</v>
      </c>
      <c r="J71" s="756">
        <f>J83</f>
        <v>149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306000</v>
      </c>
      <c r="M72" s="547">
        <f ca="1">M73+M74</f>
        <v>306000</v>
      </c>
      <c r="N72" s="547">
        <f ca="1">N73+N74</f>
        <v>263377</v>
      </c>
      <c r="O72" s="547">
        <f ca="1">IF(L72&gt;0,N72*100/L72,0)</f>
        <v>86.070915032679736</v>
      </c>
      <c r="P72" s="547">
        <f ca="1">IF(M72&gt;0,N72*100/M72,0)</f>
        <v>86.070915032679736</v>
      </c>
      <c r="Q72" s="547">
        <f ca="1">Q73+Q74</f>
        <v>1340480</v>
      </c>
      <c r="R72" s="547">
        <f ca="1">R73+R74</f>
        <v>1340480</v>
      </c>
      <c r="S72" s="547">
        <f ca="1">S73+S74</f>
        <v>893560</v>
      </c>
      <c r="T72" s="547">
        <f ca="1">IF(Q72&gt;0,S72*100/Q72,0)</f>
        <v>66.659703986631655</v>
      </c>
      <c r="U72" s="547">
        <f ca="1">IF(R72&gt;0,S72*100/R72,0)</f>
        <v>66.659703986631655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306000</v>
      </c>
      <c r="M74" s="224">
        <f ca="1">M77+M80</f>
        <v>306000</v>
      </c>
      <c r="N74" s="224">
        <f ca="1">N77+N80</f>
        <v>263377</v>
      </c>
      <c r="O74" s="224">
        <f ca="1">IF(L74&gt;0,N74*100/L74,0)</f>
        <v>86.070915032679736</v>
      </c>
      <c r="P74" s="224">
        <f ca="1">IF(M74&gt;0,N74*100/M74,0)</f>
        <v>86.070915032679736</v>
      </c>
      <c r="Q74" s="224">
        <f ca="1">Q77+Q80</f>
        <v>1340480</v>
      </c>
      <c r="R74" s="224">
        <f ca="1">R77+R80</f>
        <v>1340480</v>
      </c>
      <c r="S74" s="224">
        <f ca="1">S77+S80</f>
        <v>893560</v>
      </c>
      <c r="T74" s="224">
        <f ca="1">IF(Q74&gt;0,S74*100/Q74,0)</f>
        <v>66.659703986631655</v>
      </c>
      <c r="U74" s="224">
        <f ca="1">IF(R74&gt;0,S74*100/R74,0)</f>
        <v>66.659703986631655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306000</v>
      </c>
      <c r="M75" s="224">
        <f ca="1">M76+M77</f>
        <v>306000</v>
      </c>
      <c r="N75" s="224">
        <f ca="1">N76+N77</f>
        <v>263377</v>
      </c>
      <c r="O75" s="224">
        <f ca="1">IF(L75&gt;0,N75*100/L75,0)</f>
        <v>86.070915032679736</v>
      </c>
      <c r="P75" s="224">
        <f ca="1">IF(M75&gt;0,N75*100/M75,0)</f>
        <v>86.070915032679736</v>
      </c>
      <c r="Q75" s="224">
        <f ca="1">Q76+Q77</f>
        <v>1340480</v>
      </c>
      <c r="R75" s="224">
        <f ca="1">R76+R77</f>
        <v>1340480</v>
      </c>
      <c r="S75" s="224">
        <f ca="1">S76+S77</f>
        <v>893560</v>
      </c>
      <c r="T75" s="224">
        <f ca="1">IF(Q75&gt;0,S75*100/Q75,0)</f>
        <v>66.659703986631655</v>
      </c>
      <c r="U75" s="224">
        <f ca="1">IF(R75&gt;0,S75*100/R75,0)</f>
        <v>66.659703986631655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IFERROR(__xludf.DUMMYFUNCTION("IMPORTRANGE(""https://docs.google.com/spreadsheets/d/1-uDff_7J0KD5mKrp0Vvzr7lt3OU09vwQwhkpOPPYv2Y/edit?usp=sharing"",""งบพรบ!AM30"")"),306000)</f>
        <v>306000</v>
      </c>
      <c r="M77" s="224">
        <f ca="1">IFERROR(__xludf.DUMMYFUNCTION("IMPORTRANGE(""https://docs.google.com/spreadsheets/d/1-uDff_7J0KD5mKrp0Vvzr7lt3OU09vwQwhkpOPPYv2Y/edit?usp=sharing"",""งบพรบ!AR30"")"),306000)</f>
        <v>306000</v>
      </c>
      <c r="N77" s="224">
        <f ca="1">IFERROR(__xludf.DUMMYFUNCTION("IMPORTRANGE(""https://docs.google.com/spreadsheets/d/1-uDff_7J0KD5mKrp0Vvzr7lt3OU09vwQwhkpOPPYv2Y/edit?usp=sharing"",""งบพรบ!AT30"")"),263377)</f>
        <v>263377</v>
      </c>
      <c r="O77" s="224">
        <f ca="1">IF(L77&gt;0,N77*100/L77,0)</f>
        <v>86.070915032679736</v>
      </c>
      <c r="P77" s="224">
        <f ca="1">IF(M77&gt;0,N77*100/M77,0)</f>
        <v>86.070915032679736</v>
      </c>
      <c r="Q77" s="224">
        <f ca="1">IFERROR(__xludf.DUMMYFUNCTION("IMPORTRANGE(""https://docs.google.com/spreadsheets/d/1ItG2mGa2ceCfYo0BwxsXqNm01IGEUdYcSSLTEv9YCik/edit?usp=sharing"",""เบิกจ่ายกองทุน!BH30"")"),1340480)</f>
        <v>1340480</v>
      </c>
      <c r="R77" s="224">
        <f ca="1">IFERROR(__xludf.DUMMYFUNCTION("IMPORTRANGE(""https://docs.google.com/spreadsheets/d/1ItG2mGa2ceCfYo0BwxsXqNm01IGEUdYcSSLTEv9YCik/edit?usp=sharing"",""เบิกจ่ายกองทุน!BI30"")"),1340480)</f>
        <v>1340480</v>
      </c>
      <c r="S77" s="224">
        <f ca="1">IFERROR(__xludf.DUMMYFUNCTION("IMPORTRANGE(""https://docs.google.com/spreadsheets/d/1ItG2mGa2ceCfYo0BwxsXqNm01IGEUdYcSSLTEv9YCik/edit?usp=sharing"",""เบิกจ่ายกองทุน!BJ30"")"),893560)</f>
        <v>893560</v>
      </c>
      <c r="T77" s="224">
        <f ca="1">IF(Q77&gt;0,S77*100/Q77,0)</f>
        <v>66.659703986631655</v>
      </c>
      <c r="U77" s="224">
        <f ca="1">IF(R77&gt;0,S77*100/R77,0)</f>
        <v>66.659703986631655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IFERROR(__xludf.DUMMYFUNCTION("IMPORTRANGE(""https://docs.google.com/spreadsheets/d/1-uDff_7J0KD5mKrp0Vvzr7lt3OU09vwQwhkpOPPYv2Y/edit?usp=sharing"",""งบพรบ!AP30"")"),0)</f>
        <v>0</v>
      </c>
      <c r="M80" s="224">
        <f ca="1">IFERROR(__xludf.DUMMYFUNCTION("IMPORTRANGE(""https://docs.google.com/spreadsheets/d/1-uDff_7J0KD5mKrp0Vvzr7lt3OU09vwQwhkpOPPYv2Y/edit?usp=sharing"",""งบพรบ!AS30"")"),0)</f>
        <v>0</v>
      </c>
      <c r="N80" s="224">
        <f ca="1">IFERROR(__xludf.DUMMYFUNCTION("IMPORTRANGE(""https://docs.google.com/spreadsheets/d/1-uDff_7J0KD5mKrp0Vvzr7lt3OU09vwQwhkpOPPYv2Y/edit?usp=sharing"",""งบพรบ!AU30"")"),0)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IFERROR(__xludf.DUMMYFUNCTION("IMPORTRANGE(""https://docs.google.com/spreadsheets/d/1ItG2mGa2ceCfYo0BwxsXqNm01IGEUdYcSSLTEv9YCik/edit?usp=sharing"",""เบิกจ่ายกองทุน!BK30"")"),0)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IFERROR(__xludf.DUMMYFUNCTION("IMPORTRANGE(""https://docs.google.com/spreadsheets/d/1ItG2mGa2ceCfYo0BwxsXqNm01IGEUdYcSSLTEv9YCik/edit?usp=sharing"",""เบิกจ่ายกองทุน!BL30"")"),0)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IFERROR(__xludf.DUMMYFUNCTION("IMPORTRANGE(""https://docs.google.com/spreadsheets/d/1ItG2mGa2ceCfYo0BwxsXqNm01IGEUdYcSSLTEv9YCik/edit?usp=sharing"",""เบิกจ่ายกองทุน!BM30"")"),0)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149</v>
      </c>
      <c r="J83" s="338">
        <f>J85+J87+J89</f>
        <v>149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IFERROR(__xludf.DUMMYFUNCTION("IMPORTRANGE(""https://docs.google.com/spreadsheets/d/1eHaY18a8A9IcSdp1K8H6x8fbOy06t2VsZHhMHf-1x7Y/edit?usp=sharing"",""แผน!H30"")"),1)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IFERROR(__xludf.DUMMYFUNCTION("IMPORTRANGE(""https://docs.google.com/spreadsheets/d/1eHaY18a8A9IcSdp1K8H6x8fbOy06t2VsZHhMHf-1x7Y/edit?usp=sharing"",""แผน!I30"")"),117)</f>
        <v>117</v>
      </c>
      <c r="J85" s="380">
        <v>117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IFERROR(__xludf.DUMMYFUNCTION("IMPORTRANGE(""https://docs.google.com/spreadsheets/d/1eHaY18a8A9IcSdp1K8H6x8fbOy06t2VsZHhMHf-1x7Y/edit?usp=sharing"",""แผน!F30"")"),0)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IFERROR(__xludf.DUMMYFUNCTION("IMPORTRANGE(""https://docs.google.com/spreadsheets/d/1eHaY18a8A9IcSdp1K8H6x8fbOy06t2VsZHhMHf-1x7Y/edit?usp=sharing"",""แผน!G30"")"),0)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IFERROR(__xludf.DUMMYFUNCTION("IMPORTRANGE(""https://docs.google.com/spreadsheets/d/1eHaY18a8A9IcSdp1K8H6x8fbOy06t2VsZHhMHf-1x7Y/edit?usp=sharing"",""แผน!D30"")"),1)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IFERROR(__xludf.DUMMYFUNCTION("IMPORTRANGE(""https://docs.google.com/spreadsheets/d/1eHaY18a8A9IcSdp1K8H6x8fbOy06t2VsZHhMHf-1x7Y/edit?usp=sharing"",""แผน!E30"")"),32)</f>
        <v>32</v>
      </c>
      <c r="J89" s="380">
        <v>32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IFERROR(__xludf.DUMMYFUNCTION("IMPORTRANGE(""https://docs.google.com/spreadsheets/d/1eHaY18a8A9IcSdp1K8H6x8fbOy06t2VsZHhMHf-1x7Y/edit?usp=sharing"",""แผน!J30"")"),2)</f>
        <v>2</v>
      </c>
      <c r="J90" s="380">
        <v>2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IFERROR(__xludf.DUMMYFUNCTION("IMPORTRANGE(""https://docs.google.com/spreadsheets/d/1-uDff_7J0KD5mKrp0Vvzr7lt3OU09vwQwhkpOPPYv2Y/edit?usp=sharing"",""งบพรบ!AW30"")"),0)</f>
        <v>0</v>
      </c>
      <c r="M99" s="224">
        <f ca="1">IFERROR(__xludf.DUMMYFUNCTION("IMPORTRANGE(""https://docs.google.com/spreadsheets/d/1-uDff_7J0KD5mKrp0Vvzr7lt3OU09vwQwhkpOPPYv2Y/edit?usp=sharing"",""งบพรบ!BB30"")"),0)</f>
        <v>0</v>
      </c>
      <c r="N99" s="224">
        <f ca="1">IFERROR(__xludf.DUMMYFUNCTION("IMPORTRANGE(""https://docs.google.com/spreadsheets/d/1-uDff_7J0KD5mKrp0Vvzr7lt3OU09vwQwhkpOPPYv2Y/edit?usp=sharing"",""งบพรบ!BD30"")"),0)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IFERROR(__xludf.DUMMYFUNCTION("IMPORTRANGE(""https://docs.google.com/spreadsheets/d/1ItG2mGa2ceCfYo0BwxsXqNm01IGEUdYcSSLTEv9YCik/edit?usp=sharing"",""เบิกจ่ายกองทุน!AJ30"")"),0)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IFERROR(__xludf.DUMMYFUNCTION("IMPORTRANGE(""https://docs.google.com/spreadsheets/d/1ItG2mGa2ceCfYo0BwxsXqNm01IGEUdYcSSLTEv9YCik/edit?usp=sharing"",""เบิกจ่ายกองทุน!AK30"")"),0)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IFERROR(__xludf.DUMMYFUNCTION("IMPORTRANGE(""https://docs.google.com/spreadsheets/d/1ItG2mGa2ceCfYo0BwxsXqNm01IGEUdYcSSLTEv9YCik/edit?usp=sharing"",""เบิกจ่ายกองทุน!AL30"")"),0)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IFERROR(__xludf.DUMMYFUNCTION("IMPORTRANGE(""https://docs.google.com/spreadsheets/d/1-uDff_7J0KD5mKrp0Vvzr7lt3OU09vwQwhkpOPPYv2Y/edit?usp=sharing"",""งบพรบ!AZ30"")"),0)</f>
        <v>0</v>
      </c>
      <c r="M102" s="224">
        <f ca="1">IFERROR(__xludf.DUMMYFUNCTION("IMPORTRANGE(""https://docs.google.com/spreadsheets/d/1-uDff_7J0KD5mKrp0Vvzr7lt3OU09vwQwhkpOPPYv2Y/edit?usp=sharing"",""งบพรบ!BC30"")"),0)</f>
        <v>0</v>
      </c>
      <c r="N102" s="224">
        <f ca="1">IFERROR(__xludf.DUMMYFUNCTION("IMPORTRANGE(""https://docs.google.com/spreadsheets/d/1-uDff_7J0KD5mKrp0Vvzr7lt3OU09vwQwhkpOPPYv2Y/edit?usp=sharing"",""งบพรบ!BE30"")"),0)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IFERROR(__xludf.DUMMYFUNCTION("IMPORTRANGE(""https://docs.google.com/spreadsheets/d/1eHaY18a8A9IcSdp1K8H6x8fbOy06t2VsZHhMHf-1x7Y/edit?usp=sharing"",""แผน!N30"")"),0)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IFERROR(__xludf.DUMMYFUNCTION("IMPORTRANGE(""https://docs.google.com/spreadsheets/d/1eHaY18a8A9IcSdp1K8H6x8fbOy06t2VsZHhMHf-1x7Y/edit?usp=sharing"",""แผน!O30"")"),0)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IFERROR(__xludf.DUMMYFUNCTION("IMPORTRANGE(""https://docs.google.com/spreadsheets/d/1eHaY18a8A9IcSdp1K8H6x8fbOy06t2VsZHhMHf-1x7Y/edit?usp=sharing"",""แผน!R30"")"),0)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169680</v>
      </c>
      <c r="T117" s="547">
        <f ca="1">IF(Q117&gt;0,S117*100/Q117,0)</f>
        <v>81.047000382116934</v>
      </c>
      <c r="U117" s="547">
        <f ca="1">IF(R117&gt;0,S117*100/R117,0)</f>
        <v>81.047000382116934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169680</v>
      </c>
      <c r="T119" s="224">
        <f ca="1">IF(Q119&gt;0,S119*100/Q119,0)</f>
        <v>81.047000382116934</v>
      </c>
      <c r="U119" s="224">
        <f ca="1">IF(R119&gt;0,S119*100/R119,0)</f>
        <v>81.047000382116934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169680</v>
      </c>
      <c r="T120" s="224">
        <f ca="1">IF(Q120&gt;0,S120*100/Q120,0)</f>
        <v>81.047000382116934</v>
      </c>
      <c r="U120" s="224">
        <f ca="1">IF(R120&gt;0,S120*100/R120,0)</f>
        <v>81.047000382116934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IFERROR(__xludf.DUMMYFUNCTION("IMPORTRANGE(""https://docs.google.com/spreadsheets/d/1-uDff_7J0KD5mKrp0Vvzr7lt3OU09vwQwhkpOPPYv2Y/edit?usp=sharing"",""งบพรบ!BG30"")"),0)</f>
        <v>0</v>
      </c>
      <c r="M122" s="224">
        <f ca="1">IFERROR(__xludf.DUMMYFUNCTION("IMPORTRANGE(""https://docs.google.com/spreadsheets/d/1-uDff_7J0KD5mKrp0Vvzr7lt3OU09vwQwhkpOPPYv2Y/edit?usp=sharing"",""งบพรบ!BL30"")"),0)</f>
        <v>0</v>
      </c>
      <c r="N122" s="224">
        <f ca="1">IFERROR(__xludf.DUMMYFUNCTION("IMPORTRANGE(""https://docs.google.com/spreadsheets/d/1-uDff_7J0KD5mKrp0Vvzr7lt3OU09vwQwhkpOPPYv2Y/edit?usp=sharing"",""งบพรบ!BN30"")"),0)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IFERROR(__xludf.DUMMYFUNCTION("IMPORTRANGE(""https://docs.google.com/spreadsheets/d/1ItG2mGa2ceCfYo0BwxsXqNm01IGEUdYcSSLTEv9YCik/edit?usp=sharing"",""เบิกจ่ายกองทุน!U30"")"),209360)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IFERROR(__xludf.DUMMYFUNCTION("IMPORTRANGE(""https://docs.google.com/spreadsheets/d/1ItG2mGa2ceCfYo0BwxsXqNm01IGEUdYcSSLTEv9YCik/edit?usp=sharing"",""เบิกจ่ายกองทุน!V30"")"),209360)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IFERROR(__xludf.DUMMYFUNCTION("IMPORTRANGE(""https://docs.google.com/spreadsheets/d/1ItG2mGa2ceCfYo0BwxsXqNm01IGEUdYcSSLTEv9YCik/edit?usp=sharing"",""เบิกจ่ายกองทุน!W30"")"),169680)</f>
        <v>169680</v>
      </c>
      <c r="T122" s="224">
        <f ca="1">IF(Q122&gt;0,S122*100/Q122,0)</f>
        <v>81.047000382116934</v>
      </c>
      <c r="U122" s="224">
        <f ca="1">IF(R122&gt;0,S122*100/R122,0)</f>
        <v>81.047000382116934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IFERROR(__xludf.DUMMYFUNCTION("IMPORTRANGE(""https://docs.google.com/spreadsheets/d/1-uDff_7J0KD5mKrp0Vvzr7lt3OU09vwQwhkpOPPYv2Y/edit?usp=sharing"",""งบพรบ!BJ30"")"),0)</f>
        <v>0</v>
      </c>
      <c r="M125" s="224">
        <f ca="1">IFERROR(__xludf.DUMMYFUNCTION("IMPORTRANGE(""https://docs.google.com/spreadsheets/d/1-uDff_7J0KD5mKrp0Vvzr7lt3OU09vwQwhkpOPPYv2Y/edit?usp=sharing"",""งบพรบ!BM30"")"),0)</f>
        <v>0</v>
      </c>
      <c r="N125" s="224">
        <f ca="1">IFERROR(__xludf.DUMMYFUNCTION("IMPORTRANGE(""https://docs.google.com/spreadsheets/d/1-uDff_7J0KD5mKrp0Vvzr7lt3OU09vwQwhkpOPPYv2Y/edit?usp=sharing"",""งบพรบ!BO30"")"),0)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IFERROR(__xludf.DUMMYFUNCTION("IMPORTRANGE(""https://docs.google.com/spreadsheets/d/1ItG2mGa2ceCfYo0BwxsXqNm01IGEUdYcSSLTEv9YCik/edit?usp=sharing"",""เบิกจ่ายกองทุน!X30"")"),0)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IFERROR(__xludf.DUMMYFUNCTION("IMPORTRANGE(""https://docs.google.com/spreadsheets/d/1ItG2mGa2ceCfYo0BwxsXqNm01IGEUdYcSSLTEv9YCik/edit?usp=sharing"",""เบิกจ่ายกองทุน!Y30"")"),0)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IFERROR(__xludf.DUMMYFUNCTION("IMPORTRANGE(""https://docs.google.com/spreadsheets/d/1ItG2mGa2ceCfYo0BwxsXqNm01IGEUdYcSSLTEv9YCik/edit?usp=sharing"",""เบิกจ่ายกองทุน!Z30"")"),0)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IFERROR(__xludf.DUMMYFUNCTION("IMPORTRANGE(""https://docs.google.com/spreadsheets/d/1eHaY18a8A9IcSdp1K8H6x8fbOy06t2VsZHhMHf-1x7Y/edit?usp=sharing"",""แผน!FF30"")"),20)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IFERROR(__xludf.DUMMYFUNCTION("IMPORTRANGE(""https://docs.google.com/spreadsheets/d/1eHaY18a8A9IcSdp1K8H6x8fbOy06t2VsZHhMHf-1x7Y/edit?usp=sharing"",""แผน!FG30"")"),1)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IFERROR(__xludf.DUMMYFUNCTION("IMPORTRANGE(""https://docs.google.com/spreadsheets/d/1eHaY18a8A9IcSdp1K8H6x8fbOy06t2VsZHhMHf-1x7Y/edit?usp=sharing"",""แผน!FH30"")"),20)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IFERROR(__xludf.DUMMYFUNCTION("IMPORTRANGE(""https://docs.google.com/spreadsheets/d/1eHaY18a8A9IcSdp1K8H6x8fbOy06t2VsZHhMHf-1x7Y/edit?usp=sharing"",""แผน!FI30"")"),1)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153900</v>
      </c>
      <c r="M139" s="547">
        <f ca="1">M140+M141</f>
        <v>148900</v>
      </c>
      <c r="N139" s="547">
        <f ca="1">N140+N141</f>
        <v>121105.9</v>
      </c>
      <c r="O139" s="547">
        <f ca="1">IF(L139&gt;0,N139*100/L139,0)</f>
        <v>78.691293047433405</v>
      </c>
      <c r="P139" s="547">
        <f ca="1">IF(M139&gt;0,N139*100/M139,0)</f>
        <v>81.333713901947618</v>
      </c>
      <c r="Q139" s="547">
        <f ca="1">Q140+Q141</f>
        <v>309860</v>
      </c>
      <c r="R139" s="547">
        <f ca="1">R140+R141</f>
        <v>309860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153900</v>
      </c>
      <c r="M141" s="224">
        <f ca="1">M144+M147</f>
        <v>148900</v>
      </c>
      <c r="N141" s="224">
        <f ca="1">N144+N147</f>
        <v>121105.9</v>
      </c>
      <c r="O141" s="224">
        <f ca="1">IF(L141&gt;0,N141*100/L141,0)</f>
        <v>78.691293047433405</v>
      </c>
      <c r="P141" s="224">
        <f ca="1">IF(M141&gt;0,N141*100/M141,0)</f>
        <v>81.333713901947618</v>
      </c>
      <c r="Q141" s="224">
        <f ca="1">Q144+Q147</f>
        <v>309860</v>
      </c>
      <c r="R141" s="224">
        <f ca="1">R144+R147</f>
        <v>309860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153900</v>
      </c>
      <c r="M142" s="224">
        <f ca="1">M143+M144</f>
        <v>148900</v>
      </c>
      <c r="N142" s="224">
        <f ca="1">N143+N144</f>
        <v>121105.9</v>
      </c>
      <c r="O142" s="224">
        <f ca="1">IF(L142&gt;0,N142*100/L142,0)</f>
        <v>78.691293047433405</v>
      </c>
      <c r="P142" s="224">
        <f ca="1">IF(M142&gt;0,N142*100/M142,0)</f>
        <v>81.333713901947618</v>
      </c>
      <c r="Q142" s="224">
        <f ca="1">Q143+Q144</f>
        <v>49860</v>
      </c>
      <c r="R142" s="224">
        <f ca="1">R143+R144</f>
        <v>49860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IFERROR(__xludf.DUMMYFUNCTION("IMPORTRANGE(""https://docs.google.com/spreadsheets/d/1-uDff_7J0KD5mKrp0Vvzr7lt3OU09vwQwhkpOPPYv2Y/edit?usp=sharing"",""งบพรบ!BQ30"")"),153900)</f>
        <v>153900</v>
      </c>
      <c r="M144" s="224">
        <f ca="1">IFERROR(__xludf.DUMMYFUNCTION("IMPORTRANGE(""https://docs.google.com/spreadsheets/d/1-uDff_7J0KD5mKrp0Vvzr7lt3OU09vwQwhkpOPPYv2Y/edit?usp=sharing"",""งบพรบ!BV30"")"),148900)</f>
        <v>148900</v>
      </c>
      <c r="N144" s="224">
        <f ca="1">IFERROR(__xludf.DUMMYFUNCTION("IMPORTRANGE(""https://docs.google.com/spreadsheets/d/1-uDff_7J0KD5mKrp0Vvzr7lt3OU09vwQwhkpOPPYv2Y/edit?usp=sharing"",""งบพรบ!BX30"")"),121105.9)</f>
        <v>121105.9</v>
      </c>
      <c r="O144" s="224">
        <f ca="1">IF(L144&gt;0,N144*100/L144,0)</f>
        <v>78.691293047433405</v>
      </c>
      <c r="P144" s="224">
        <f ca="1">IF(M144&gt;0,N144*100/M144,0)</f>
        <v>81.333713901947618</v>
      </c>
      <c r="Q144" s="224">
        <f ca="1">IFERROR(__xludf.DUMMYFUNCTION("IMPORTRANGE(""https://docs.google.com/spreadsheets/d/1ItG2mGa2ceCfYo0BwxsXqNm01IGEUdYcSSLTEv9YCik/edit?usp=sharing"",""เบิกจ่ายกองทุน!CF30"")"),49860)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IFERROR(__xludf.DUMMYFUNCTION("IMPORTRANGE(""https://docs.google.com/spreadsheets/d/1ItG2mGa2ceCfYo0BwxsXqNm01IGEUdYcSSLTEv9YCik/edit?usp=sharing"",""เบิกจ่ายกองทุน!CG30"")"),49860)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IFERROR(__xludf.DUMMYFUNCTION("IMPORTRANGE(""https://docs.google.com/spreadsheets/d/1ItG2mGa2ceCfYo0BwxsXqNm01IGEUdYcSSLTEv9YCik/edit?usp=sharing"",""เบิกจ่ายกองทุน!CH30"")"),0)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IFERROR(__xludf.DUMMYFUNCTION("IMPORTRANGE(""https://docs.google.com/spreadsheets/d/1-uDff_7J0KD5mKrp0Vvzr7lt3OU09vwQwhkpOPPYv2Y/edit?usp=sharing"",""งบพรบ!BT30"")"),0)</f>
        <v>0</v>
      </c>
      <c r="M147" s="224">
        <f ca="1">IFERROR(__xludf.DUMMYFUNCTION("IMPORTRANGE(""https://docs.google.com/spreadsheets/d/1-uDff_7J0KD5mKrp0Vvzr7lt3OU09vwQwhkpOPPYv2Y/edit?usp=sharing"",""งบพรบ!BW30"")"),0)</f>
        <v>0</v>
      </c>
      <c r="N147" s="224">
        <f ca="1">IFERROR(__xludf.DUMMYFUNCTION("IMPORTRANGE(""https://docs.google.com/spreadsheets/d/1-uDff_7J0KD5mKrp0Vvzr7lt3OU09vwQwhkpOPPYv2Y/edit?usp=sharing"",""งบพรบ!BY30"")"),0)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IFERROR(__xludf.DUMMYFUNCTION("IMPORTRANGE(""https://docs.google.com/spreadsheets/d/1ItG2mGa2ceCfYo0BwxsXqNm01IGEUdYcSSLTEv9YCik/edit?usp=sharing"",""เบิกจ่ายกองทุน!CI30"")"),260000)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IFERROR(__xludf.DUMMYFUNCTION("IMPORTRANGE(""https://docs.google.com/spreadsheets/d/1ItG2mGa2ceCfYo0BwxsXqNm01IGEUdYcSSLTEv9YCik/edit?usp=sharing"",""เบิกจ่ายกองทุน!CJ30"")"),260000)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IFERROR(__xludf.DUMMYFUNCTION("IMPORTRANGE(""https://docs.google.com/spreadsheets/d/1ItG2mGa2ceCfYo0BwxsXqNm01IGEUdYcSSLTEv9YCik/edit?usp=sharing"",""เบิกจ่ายกองทุน!CK30"")"),0)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IFERROR(__xludf.DUMMYFUNCTION("IMPORTRANGE(""https://docs.google.com/spreadsheets/d/1eHaY18a8A9IcSdp1K8H6x8fbOy06t2VsZHhMHf-1x7Y/edit?usp=sharing"",""แผน!U30"")"),20)</f>
        <v>20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IFERROR(__xludf.DUMMYFUNCTION("IMPORTRANGE(""https://docs.google.com/spreadsheets/d/1eHaY18a8A9IcSdp1K8H6x8fbOy06t2VsZHhMHf-1x7Y/edit?usp=sharing"",""แผน!V30"")"),2)</f>
        <v>2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IFERROR(__xludf.DUMMYFUNCTION("IMPORTRANGE(""https://docs.google.com/spreadsheets/d/1eHaY18a8A9IcSdp1K8H6x8fbOy06t2VsZHhMHf-1x7Y/edit?usp=sharing"",""แผน!W30"")"),40)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IFERROR(__xludf.DUMMYFUNCTION("IMPORTRANGE(""https://docs.google.com/spreadsheets/d/1eHaY18a8A9IcSdp1K8H6x8fbOy06t2VsZHhMHf-1x7Y/edit?usp=sharing"",""แผน!X30"")"),4)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IFERROR(__xludf.DUMMYFUNCTION("IMPORTRANGE(""https://docs.google.com/spreadsheets/d/1eHaY18a8A9IcSdp1K8H6x8fbOy06t2VsZHhMHf-1x7Y/edit?usp=sharing"",""แผน!Y30"")"),2)</f>
        <v>2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96970</v>
      </c>
      <c r="N157" s="547">
        <f ca="1">N158+N159</f>
        <v>79400</v>
      </c>
      <c r="O157" s="547">
        <f ca="1">IF(L157&gt;0,N157*100/L157,0)</f>
        <v>1764.4444444444443</v>
      </c>
      <c r="P157" s="547">
        <f ca="1">IF(M157&gt;0,N157*100/M157,0)</f>
        <v>81.880994121893366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96970</v>
      </c>
      <c r="N159" s="224">
        <f ca="1">N162+N165</f>
        <v>79400</v>
      </c>
      <c r="O159" s="224">
        <f ca="1">IF(L159&gt;0,N159*100/L159,0)</f>
        <v>1764.4444444444443</v>
      </c>
      <c r="P159" s="224">
        <f ca="1">IF(M159&gt;0,N159*100/M159,0)</f>
        <v>81.880994121893366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96970</v>
      </c>
      <c r="N160" s="224">
        <f ca="1">N161+N162</f>
        <v>79400</v>
      </c>
      <c r="O160" s="224">
        <f ca="1">IF(L160&gt;0,N160*100/L160,0)</f>
        <v>1764.4444444444443</v>
      </c>
      <c r="P160" s="224">
        <f ca="1">IF(M160&gt;0,N160*100/M160,0)</f>
        <v>81.880994121893366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IFERROR(__xludf.DUMMYFUNCTION("IMPORTRANGE(""https://docs.google.com/spreadsheets/d/1-uDff_7J0KD5mKrp0Vvzr7lt3OU09vwQwhkpOPPYv2Y/edit?usp=sharing"",""งบพรบ!CA30"")"),4500)</f>
        <v>4500</v>
      </c>
      <c r="M162" s="224">
        <f ca="1">IFERROR(__xludf.DUMMYFUNCTION("IMPORTRANGE(""https://docs.google.com/spreadsheets/d/1-uDff_7J0KD5mKrp0Vvzr7lt3OU09vwQwhkpOPPYv2Y/edit?usp=sharing"",""งบพรบ!CF30"")"),96970)</f>
        <v>96970</v>
      </c>
      <c r="N162" s="224">
        <f ca="1">IFERROR(__xludf.DUMMYFUNCTION("IMPORTRANGE(""https://docs.google.com/spreadsheets/d/1-uDff_7J0KD5mKrp0Vvzr7lt3OU09vwQwhkpOPPYv2Y/edit?usp=sharing"",""งบพรบ!CH30"")"),79400)</f>
        <v>79400</v>
      </c>
      <c r="O162" s="224">
        <f ca="1">IF(L162&gt;0,N162*100/L162,0)</f>
        <v>1764.4444444444443</v>
      </c>
      <c r="P162" s="224">
        <f ca="1">IF(M162&gt;0,N162*100/M162,0)</f>
        <v>81.880994121893366</v>
      </c>
      <c r="Q162" s="224">
        <f ca="1">IFERROR(__xludf.DUMMYFUNCTION("IMPORTRANGE(""https://docs.google.com/spreadsheets/d/1ItG2mGa2ceCfYo0BwxsXqNm01IGEUdYcSSLTEv9YCik/edit?usp=sharing"",""เบิกจ่ายกองทุน!AM30"")"),0)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IFERROR(__xludf.DUMMYFUNCTION("IMPORTRANGE(""https://docs.google.com/spreadsheets/d/1ItG2mGa2ceCfYo0BwxsXqNm01IGEUdYcSSLTEv9YCik/edit?usp=sharing"",""เบิกจ่ายกองทุน!AN30"")"),0)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IFERROR(__xludf.DUMMYFUNCTION("IMPORTRANGE(""https://docs.google.com/spreadsheets/d/1ItG2mGa2ceCfYo0BwxsXqNm01IGEUdYcSSLTEv9YCik/edit?usp=sharing"",""เบิกจ่ายกองทุน!AO30"")"),0)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IFERROR(__xludf.DUMMYFUNCTION("IMPORTRANGE(""https://docs.google.com/spreadsheets/d/1-uDff_7J0KD5mKrp0Vvzr7lt3OU09vwQwhkpOPPYv2Y/edit?usp=sharing"",""งบพรบ!CD30"")"),0)</f>
        <v>0</v>
      </c>
      <c r="M165" s="224">
        <f ca="1">IFERROR(__xludf.DUMMYFUNCTION("IMPORTRANGE(""https://docs.google.com/spreadsheets/d/1-uDff_7J0KD5mKrp0Vvzr7lt3OU09vwQwhkpOPPYv2Y/edit?usp=sharing"",""งบพรบ!CG30"")"),0)</f>
        <v>0</v>
      </c>
      <c r="N165" s="224">
        <f ca="1">IFERROR(__xludf.DUMMYFUNCTION("IMPORTRANGE(""https://docs.google.com/spreadsheets/d/1-uDff_7J0KD5mKrp0Vvzr7lt3OU09vwQwhkpOPPYv2Y/edit?usp=sharing"",""งบพรบ!CI30"")"),0)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IFERROR(__xludf.DUMMYFUNCTION("IMPORTRANGE(""https://docs.google.com/spreadsheets/d/1eHaY18a8A9IcSdp1K8H6x8fbOy06t2VsZHhMHf-1x7Y/edit?usp=sharing"",""แผน!Z30"")"),15)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33520</v>
      </c>
      <c r="N173" s="547">
        <f ca="1">N174+N175</f>
        <v>33520</v>
      </c>
      <c r="O173" s="547">
        <f ca="1">IF(L173&gt;0,N173*100/L173,0)</f>
        <v>171.107708014293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33520</v>
      </c>
      <c r="N175" s="224">
        <f ca="1">N178+N181</f>
        <v>33520</v>
      </c>
      <c r="O175" s="224">
        <f ca="1">IF(L175&gt;0,N175*100/L175,0)</f>
        <v>171.107708014293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33520</v>
      </c>
      <c r="N176" s="224">
        <f ca="1">N177+N178</f>
        <v>33520</v>
      </c>
      <c r="O176" s="224">
        <f ca="1">IF(L176&gt;0,N176*100/L176,0)</f>
        <v>171.107708014293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IFERROR(__xludf.DUMMYFUNCTION("IMPORTRANGE(""https://docs.google.com/spreadsheets/d/1-uDff_7J0KD5mKrp0Vvzr7lt3OU09vwQwhkpOPPYv2Y/edit?usp=sharing"",""งบพรบ!CK30"")"),19590)</f>
        <v>19590</v>
      </c>
      <c r="M178" s="224">
        <f ca="1">IFERROR(__xludf.DUMMYFUNCTION("IMPORTRANGE(""https://docs.google.com/spreadsheets/d/1-uDff_7J0KD5mKrp0Vvzr7lt3OU09vwQwhkpOPPYv2Y/edit?usp=sharing"",""งบพรบ!CP30"")"),33520)</f>
        <v>33520</v>
      </c>
      <c r="N178" s="224">
        <f ca="1">IFERROR(__xludf.DUMMYFUNCTION("IMPORTRANGE(""https://docs.google.com/spreadsheets/d/1-uDff_7J0KD5mKrp0Vvzr7lt3OU09vwQwhkpOPPYv2Y/edit?usp=sharing"",""งบพรบ!CR30"")"),33520)</f>
        <v>33520</v>
      </c>
      <c r="O178" s="224">
        <f ca="1">IF(L178&gt;0,N178*100/L178,0)</f>
        <v>171.107708014293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IFERROR(__xludf.DUMMYFUNCTION("IMPORTRANGE(""https://docs.google.com/spreadsheets/d/1ItG2mGa2ceCfYo0BwxsXqNm01IGEUdYcSSLTEv9YCik/edit?usp=sharing"",""เบิกจ่ายกองทุน!DG30"")"),0)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IFERROR(__xludf.DUMMYFUNCTION("IMPORTRANGE(""https://docs.google.com/spreadsheets/d/1ItG2mGa2ceCfYo0BwxsXqNm01IGEUdYcSSLTEv9YCik/edit?usp=sharing"",""เบิกจ่ายกองทุน!DH30"")"),0)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IFERROR(__xludf.DUMMYFUNCTION("IMPORTRANGE(""https://docs.google.com/spreadsheets/d/1ItG2mGa2ceCfYo0BwxsXqNm01IGEUdYcSSLTEv9YCik/edit?usp=sharing"",""เบิกจ่ายกองทุน!DI30"")"),0)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IFERROR(__xludf.DUMMYFUNCTION("IMPORTRANGE(""https://docs.google.com/spreadsheets/d/1-uDff_7J0KD5mKrp0Vvzr7lt3OU09vwQwhkpOPPYv2Y/edit?usp=sharing"",""งบพรบ!CN30"")"),0)</f>
        <v>0</v>
      </c>
      <c r="M181" s="224">
        <f ca="1">IFERROR(__xludf.DUMMYFUNCTION("IMPORTRANGE(""https://docs.google.com/spreadsheets/d/1-uDff_7J0KD5mKrp0Vvzr7lt3OU09vwQwhkpOPPYv2Y/edit?usp=sharing"",""งบพรบ!CQ30"")"),0)</f>
        <v>0</v>
      </c>
      <c r="N181" s="224">
        <f ca="1">IFERROR(__xludf.DUMMYFUNCTION("IMPORTRANGE(""https://docs.google.com/spreadsheets/d/1-uDff_7J0KD5mKrp0Vvzr7lt3OU09vwQwhkpOPPYv2Y/edit?usp=sharing"",""งบพรบ!CS30"")"),0)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IFERROR(__xludf.DUMMYFUNCTION("IMPORTRANGE(""https://docs.google.com/spreadsheets/d/1eHaY18a8A9IcSdp1K8H6x8fbOy06t2VsZHhMHf-1x7Y/edit?usp=sharing"",""แผน!AA30"")"),7)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58490</v>
      </c>
      <c r="N186" s="547">
        <f ca="1">N187+N188</f>
        <v>39084.879999999997</v>
      </c>
      <c r="O186" s="547">
        <f ca="1">IF(L186&gt;0,N186*100/L186,0)</f>
        <v>113.2895072463768</v>
      </c>
      <c r="P186" s="547">
        <f ca="1">IF(M186&gt;0,N186*100/M186,0)</f>
        <v>66.823183450162418</v>
      </c>
      <c r="Q186" s="547">
        <f ca="1">Q187+Q188</f>
        <v>56000</v>
      </c>
      <c r="R186" s="547">
        <f ca="1">R187+R188</f>
        <v>56000</v>
      </c>
      <c r="S186" s="547">
        <f ca="1">S187+S188</f>
        <v>29000</v>
      </c>
      <c r="T186" s="547">
        <f ca="1">IF(Q186&gt;0,S186*100/Q186,0)</f>
        <v>51.785714285714285</v>
      </c>
      <c r="U186" s="547">
        <f ca="1">IF(R186&gt;0,S186*100/R186,0)</f>
        <v>51.785714285714285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58490</v>
      </c>
      <c r="N188" s="224">
        <f ca="1">N191+N194</f>
        <v>39084.879999999997</v>
      </c>
      <c r="O188" s="224">
        <f ca="1">IF(L188&gt;0,N188*100/L188,0)</f>
        <v>113.2895072463768</v>
      </c>
      <c r="P188" s="224">
        <f ca="1">IF(M188&gt;0,N188*100/M188,0)</f>
        <v>66.823183450162418</v>
      </c>
      <c r="Q188" s="224">
        <f ca="1">Q191+Q194</f>
        <v>56000</v>
      </c>
      <c r="R188" s="224">
        <f ca="1">R191+R194</f>
        <v>56000</v>
      </c>
      <c r="S188" s="224">
        <f ca="1">S191+S194</f>
        <v>29000</v>
      </c>
      <c r="T188" s="224">
        <f ca="1">IF(Q188&gt;0,S188*100/Q188,0)</f>
        <v>51.785714285714285</v>
      </c>
      <c r="U188" s="224">
        <f ca="1">IF(R188&gt;0,S188*100/R188,0)</f>
        <v>51.785714285714285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58490</v>
      </c>
      <c r="N189" s="224">
        <f ca="1">N190+N191</f>
        <v>39084.879999999997</v>
      </c>
      <c r="O189" s="224">
        <f ca="1">IF(L189&gt;0,N189*100/L189,0)</f>
        <v>113.2895072463768</v>
      </c>
      <c r="P189" s="224">
        <f ca="1">IF(M189&gt;0,N189*100/M189,0)</f>
        <v>66.823183450162418</v>
      </c>
      <c r="Q189" s="224">
        <f ca="1">Q190+Q191</f>
        <v>56000</v>
      </c>
      <c r="R189" s="224">
        <f ca="1">R190+R191</f>
        <v>56000</v>
      </c>
      <c r="S189" s="224">
        <f ca="1">S190+S191</f>
        <v>29000</v>
      </c>
      <c r="T189" s="224">
        <f ca="1">IF(Q189&gt;0,S189*100/Q189,0)</f>
        <v>51.785714285714285</v>
      </c>
      <c r="U189" s="224">
        <f ca="1">IF(R189&gt;0,S189*100/R189,0)</f>
        <v>51.785714285714285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IFERROR(__xludf.DUMMYFUNCTION("IMPORTRANGE(""https://docs.google.com/spreadsheets/d/1-uDff_7J0KD5mKrp0Vvzr7lt3OU09vwQwhkpOPPYv2Y/edit?usp=sharing"",""งบพรบ!CU30"")"),34500)</f>
        <v>34500</v>
      </c>
      <c r="M191" s="224">
        <f ca="1">IFERROR(__xludf.DUMMYFUNCTION("IMPORTRANGE(""https://docs.google.com/spreadsheets/d/1-uDff_7J0KD5mKrp0Vvzr7lt3OU09vwQwhkpOPPYv2Y/edit?usp=sharing"",""งบพรบ!CZ30"")"),58490)</f>
        <v>58490</v>
      </c>
      <c r="N191" s="224">
        <f ca="1">IFERROR(__xludf.DUMMYFUNCTION("IMPORTRANGE(""https://docs.google.com/spreadsheets/d/1-uDff_7J0KD5mKrp0Vvzr7lt3OU09vwQwhkpOPPYv2Y/edit?usp=sharing"",""งบพรบ!DB30"")"),39084.88)</f>
        <v>39084.879999999997</v>
      </c>
      <c r="O191" s="224">
        <f ca="1">IF(L191&gt;0,N191*100/L191,0)</f>
        <v>113.2895072463768</v>
      </c>
      <c r="P191" s="224">
        <f ca="1">IF(M191&gt;0,N191*100/M191,0)</f>
        <v>66.823183450162418</v>
      </c>
      <c r="Q191" s="224">
        <f ca="1">IFERROR(__xludf.DUMMYFUNCTION("IMPORTRANGE(""https://docs.google.com/spreadsheets/d/1ItG2mGa2ceCfYo0BwxsXqNm01IGEUdYcSSLTEv9YCik/edit?usp=sharing"",""เบิกจ่ายกองทุน!BQ30"")"),56000)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IFERROR(__xludf.DUMMYFUNCTION("IMPORTRANGE(""https://docs.google.com/spreadsheets/d/1ItG2mGa2ceCfYo0BwxsXqNm01IGEUdYcSSLTEv9YCik/edit?usp=sharing"",""เบิกจ่ายกองทุน!BR30"")"),56000)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IFERROR(__xludf.DUMMYFUNCTION("IMPORTRANGE(""https://docs.google.com/spreadsheets/d/1ItG2mGa2ceCfYo0BwxsXqNm01IGEUdYcSSLTEv9YCik/edit?usp=sharing"",""เบิกจ่ายกองทุน!BS30"")"),29000)</f>
        <v>29000</v>
      </c>
      <c r="T191" s="224">
        <f ca="1">IF(Q191&gt;0,S191*100/Q191,0)</f>
        <v>51.785714285714285</v>
      </c>
      <c r="U191" s="224">
        <f ca="1">IF(R191&gt;0,S191*100/R191,0)</f>
        <v>51.785714285714285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IFERROR(__xludf.DUMMYFUNCTION("IMPORTRANGE(""https://docs.google.com/spreadsheets/d/1-uDff_7J0KD5mKrp0Vvzr7lt3OU09vwQwhkpOPPYv2Y/edit?usp=sharing"",""งบพรบ!CX30"")"),0)</f>
        <v>0</v>
      </c>
      <c r="M194" s="224">
        <f ca="1">IFERROR(__xludf.DUMMYFUNCTION("IMPORTRANGE(""https://docs.google.com/spreadsheets/d/1-uDff_7J0KD5mKrp0Vvzr7lt3OU09vwQwhkpOPPYv2Y/edit?usp=sharing"",""งบพรบ!DA30"")"),0)</f>
        <v>0</v>
      </c>
      <c r="N194" s="224">
        <f ca="1">IFERROR(__xludf.DUMMYFUNCTION("IMPORTRANGE(""https://docs.google.com/spreadsheets/d/1-uDff_7J0KD5mKrp0Vvzr7lt3OU09vwQwhkpOPPYv2Y/edit?usp=sharing"",""งบพรบ!DC30"")"),0)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IFERROR(__xludf.DUMMYFUNCTION("IMPORTRANGE(""https://docs.google.com/spreadsheets/d/1ItG2mGa2ceCfYo0BwxsXqNm01IGEUdYcSSLTEv9YCik/edit?usp=sharing"",""เบิกจ่ายกองทุน!BT30"")"),0)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IFERROR(__xludf.DUMMYFUNCTION("IMPORTRANGE(""https://docs.google.com/spreadsheets/d/1ItG2mGa2ceCfYo0BwxsXqNm01IGEUdYcSSLTEv9YCik/edit?usp=sharing"",""เบิกจ่ายกองทุน!BU30"")"),0)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IFERROR(__xludf.DUMMYFUNCTION("IMPORTRANGE(""https://docs.google.com/spreadsheets/d/1ItG2mGa2ceCfYo0BwxsXqNm01IGEUdYcSSLTEv9YCik/edit?usp=sharing"",""เบิกจ่ายกองทุน!BV30"")"),0)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3</v>
      </c>
      <c r="K195" s="303">
        <f ca="1">IF(I195&gt;0,J195*100/I195,0)</f>
        <v>75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IFERROR(__xludf.DUMMYFUNCTION("IMPORTRANGE(""https://docs.google.com/spreadsheets/d/1eHaY18a8A9IcSdp1K8H6x8fbOy06t2VsZHhMHf-1x7Y/edit?usp=sharing"",""แผน!AB30"")"),6000)</f>
        <v>6000</v>
      </c>
      <c r="M196" s="45"/>
      <c r="N196" s="749">
        <v>8000</v>
      </c>
      <c r="O196" s="547">
        <f ca="1">IF(L196&gt;0,N196*100/L196,0)</f>
        <v>133.33333333333334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IFERROR(__xludf.DUMMYFUNCTION("IMPORTRANGE(""https://docs.google.com/spreadsheets/d/1eHaY18a8A9IcSdp1K8H6x8fbOy06t2VsZHhMHf-1x7Y/edit?usp=sharing"",""แผน!AE30"")"),4)</f>
        <v>4</v>
      </c>
      <c r="J198" s="380">
        <v>3</v>
      </c>
      <c r="K198" s="224">
        <f ca="1">IF(I198&gt;0,J198*100/I198,0)</f>
        <v>75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5474.88</v>
      </c>
      <c r="O203" s="547">
        <f ca="1">IF(L203&gt;0,N203*100/L203,0)</f>
        <v>27.374400000000001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29000</v>
      </c>
      <c r="T203" s="747">
        <f ca="1">IF(Q203&gt;0,S203*100/Q203,0)</f>
        <v>51.785714285714285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IFERROR(__xludf.DUMMYFUNCTION("IMPORTRANGE(""https://docs.google.com/spreadsheets/d/1eHaY18a8A9IcSdp1K8H6x8fbOy06t2VsZHhMHf-1x7Y/edit?usp=sharing"",""แผน!AG30"")"),4000)</f>
        <v>4000</v>
      </c>
      <c r="M204" s="45"/>
      <c r="N204" s="737">
        <v>5474.88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IFERROR(__xludf.DUMMYFUNCTION("IMPORTRANGE(""https://docs.google.com/spreadsheets/d/1eHaY18a8A9IcSdp1K8H6x8fbOy06t2VsZHhMHf-1x7Y/edit?usp=sharing"",""แผน!AH30"")"),0)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IFERROR(__xludf.DUMMYFUNCTION("IMPORTRANGE(""https://docs.google.com/spreadsheets/d/1eHaY18a8A9IcSdp1K8H6x8fbOy06t2VsZHhMHf-1x7Y/edit?usp=sharing"",""แผน!AI30"")"),0)</f>
        <v>0</v>
      </c>
      <c r="M206" s="45"/>
      <c r="N206" s="737"/>
      <c r="O206" s="136"/>
      <c r="P206" s="45"/>
      <c r="Q206" s="545">
        <f ca="1">IFERROR(__xludf.DUMMYFUNCTION("IMPORTRANGE(""https://docs.google.com/spreadsheets/d/1eHaY18a8A9IcSdp1K8H6x8fbOy06t2VsZHhMHf-1x7Y/edit?usp=sharing"",""แผน!LV30"")"),56000)</f>
        <v>56000</v>
      </c>
      <c r="R206" s="45"/>
      <c r="S206" s="737">
        <v>29000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IFERROR(__xludf.DUMMYFUNCTION("IMPORTRANGE(""https://docs.google.com/spreadsheets/d/1eHaY18a8A9IcSdp1K8H6x8fbOy06t2VsZHhMHf-1x7Y/edit?usp=sharing"",""แผน!AJ30"")"),16000)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IFERROR(__xludf.DUMMYFUNCTION("IMPORTRANGE(""https://docs.google.com/spreadsheets/d/1eHaY18a8A9IcSdp1K8H6x8fbOy06t2VsZHhMHf-1x7Y/edit?usp=sharing"",""แผน!AK30"")"),4)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IFERROR(__xludf.DUMMYFUNCTION("IMPORTRANGE(""https://docs.google.com/spreadsheets/d/1eHaY18a8A9IcSdp1K8H6x8fbOy06t2VsZHhMHf-1x7Y/edit?usp=sharing"",""แผน!JX30"")"),4)</f>
        <v>4</v>
      </c>
      <c r="J211" s="380">
        <v>0</v>
      </c>
      <c r="K211" s="569">
        <f ca="1">IF(I211&gt;0,J211*100/I211,0)</f>
        <v>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IFERROR(__xludf.DUMMYFUNCTION("IMPORTRANGE(""https://docs.google.com/spreadsheets/d/1eHaY18a8A9IcSdp1K8H6x8fbOy06t2VsZHhMHf-1x7Y/edit?usp=sharing"",""แผน!JY30"")"),0)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IFERROR(__xludf.DUMMYFUNCTION("IMPORTRANGE(""https://docs.google.com/spreadsheets/d/1eHaY18a8A9IcSdp1K8H6x8fbOy06t2VsZHhMHf-1x7Y/edit?usp=sharing"",""แผน!AM30"")"),0)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IFERROR(__xludf.DUMMYFUNCTION("IMPORTRANGE(""https://docs.google.com/spreadsheets/d/1eHaY18a8A9IcSdp1K8H6x8fbOy06t2VsZHhMHf-1x7Y/edit?usp=sharing"",""แผน!AN30"")"),0)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IFERROR(__xludf.DUMMYFUNCTION("IMPORTRANGE(""https://docs.google.com/spreadsheets/d/1eHaY18a8A9IcSdp1K8H6x8fbOy06t2VsZHhMHf-1x7Y/edit?usp=sharing"",""แผน!AO30"")"),0)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IFERROR(__xludf.DUMMYFUNCTION("IMPORTRANGE(""https://docs.google.com/spreadsheets/d/1eHaY18a8A9IcSdp1K8H6x8fbOy06t2VsZHhMHf-1x7Y/edit?usp=sharing"",""แผน!LY30"")"),0)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IFERROR(__xludf.DUMMYFUNCTION("IMPORTRANGE(""https://docs.google.com/spreadsheets/d/1eHaY18a8A9IcSdp1K8H6x8fbOy06t2VsZHhMHf-1x7Y/edit?usp=sharing"",""แผน!AP30"")"),0)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IFERROR(__xludf.DUMMYFUNCTION("IMPORTRANGE(""https://docs.google.com/spreadsheets/d/1eHaY18a8A9IcSdp1K8H6x8fbOy06t2VsZHhMHf-1x7Y/edit?usp=sharing"",""แผน!AP30"")"),0)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7280</v>
      </c>
      <c r="O222" s="547">
        <f ca="1">IF(L222&gt;0,N222*100/L222,0)</f>
        <v>85.647058823529406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IFERROR(__xludf.DUMMYFUNCTION("IMPORTRANGE(""https://docs.google.com/spreadsheets/d/1eHaY18a8A9IcSdp1K8H6x8fbOy06t2VsZHhMHf-1x7Y/edit?usp=sharing"",""แผน!AR30"")"),2500)</f>
        <v>2500</v>
      </c>
      <c r="M223" s="45"/>
      <c r="N223" s="737">
        <v>1280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IFERROR(__xludf.DUMMYFUNCTION("IMPORTRANGE(""https://docs.google.com/spreadsheets/d/1eHaY18a8A9IcSdp1K8H6x8fbOy06t2VsZHhMHf-1x7Y/edit?usp=sharing"",""แผน!AS30"")"),6000)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IFERROR(__xludf.DUMMYFUNCTION("IMPORTRANGE(""https://docs.google.com/spreadsheets/d/1eHaY18a8A9IcSdp1K8H6x8fbOy06t2VsZHhMHf-1x7Y/edit?usp=sharing"",""แผน!AT30"")"),0)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IFERROR(__xludf.DUMMYFUNCTION("IMPORTRANGE(""https://docs.google.com/spreadsheets/d/1eHaY18a8A9IcSdp1K8H6x8fbOy06t2VsZHhMHf-1x7Y/edit?usp=sharing"",""แผน!AV30"")"),50000)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IFERROR(__xludf.DUMMYFUNCTION("IMPORTRANGE(""https://docs.google.com/spreadsheets/d/1eHaY18a8A9IcSdp1K8H6x8fbOy06t2VsZHhMHf-1x7Y/edit?usp=sharing"",""แผน!AV30"")"),50000)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IFERROR(__xludf.DUMMYFUNCTION("IMPORTRANGE(""https://docs.google.com/spreadsheets/d/1eHaY18a8A9IcSdp1K8H6x8fbOy06t2VsZHhMHf-1x7Y/edit?usp=sharing"",""แผน!AU30"")"),0)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918">
        <v>0</v>
      </c>
      <c r="R233" s="376">
        <v>0</v>
      </c>
      <c r="S233" s="376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545">
        <v>0</v>
      </c>
      <c r="R234" s="224">
        <v>0</v>
      </c>
      <c r="S234" s="224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545">
        <v>0</v>
      </c>
      <c r="R235" s="224">
        <v>0</v>
      </c>
      <c r="S235" s="224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545">
        <v>0</v>
      </c>
      <c r="R236" s="224">
        <v>0</v>
      </c>
      <c r="S236" s="224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IFERROR(__xludf.DUMMYFUNCTION("IMPORTRANGE(""https://docs.google.com/spreadsheets/d/1eHaY18a8A9IcSdp1K8H6x8fbOy06t2VsZHhMHf-1x7Y/edit?usp=sharing"",""แผน!AX30"")"),0)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IFERROR(__xludf.DUMMYFUNCTION("IMPORTRANGE(""https://docs.google.com/spreadsheets/d/1eHaY18a8A9IcSdp1K8H6x8fbOy06t2VsZHhMHf-1x7Y/edit?usp=sharing"",""แผน!AY30"")"),0)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IFERROR(__xludf.DUMMYFUNCTION("IMPORTRANGE(""https://docs.google.com/spreadsheets/d/1eHaY18a8A9IcSdp1K8H6x8fbOy06t2VsZHhMHf-1x7Y/edit?usp=sharing"",""แผน!AZ30"")"),0)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IFERROR(__xludf.DUMMYFUNCTION("IMPORTRANGE(""https://docs.google.com/spreadsheets/d/1eHaY18a8A9IcSdp1K8H6x8fbOy06t2VsZHhMHf-1x7Y/edit?usp=sharing"",""แผน!BA30"")"),0)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IFERROR(__xludf.DUMMYFUNCTION("IMPORTRANGE(""https://docs.google.com/spreadsheets/d/1eHaY18a8A9IcSdp1K8H6x8fbOy06t2VsZHhMHf-1x7Y/edit?usp=sharing"",""แผน!BG30"")"),0)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IFERROR(__xludf.DUMMYFUNCTION("IMPORTRANGE(""https://docs.google.com/spreadsheets/d/1eHaY18a8A9IcSdp1K8H6x8fbOy06t2VsZHhMHf-1x7Y/edit?usp=sharing"",""แผน!BB30"")"),0)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IFERROR(__xludf.DUMMYFUNCTION("IMPORTRANGE(""https://docs.google.com/spreadsheets/d/1eHaY18a8A9IcSdp1K8H6x8fbOy06t2VsZHhMHf-1x7Y/edit?usp=sharing"",""แผน!BC30"")"),0)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IFERROR(__xludf.DUMMYFUNCTION("IMPORTRANGE(""https://docs.google.com/spreadsheets/d/1eHaY18a8A9IcSdp1K8H6x8fbOy06t2VsZHhMHf-1x7Y/edit?usp=sharing"",""แผน!BD30"")"),0)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IFERROR(__xludf.DUMMYFUNCTION("IMPORTRANGE(""https://docs.google.com/spreadsheets/d/1eHaY18a8A9IcSdp1K8H6x8fbOy06t2VsZHhMHf-1x7Y/edit?usp=sharing"",""แผน!BE30"")"),0)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IFERROR(__xludf.DUMMYFUNCTION("IMPORTRANGE(""https://docs.google.com/spreadsheets/d/1eHaY18a8A9IcSdp1K8H6x8fbOy06t2VsZHhMHf-1x7Y/edit?usp=sharing"",""แผน!BH30"")"),0)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14600</v>
      </c>
      <c r="N266" s="715">
        <f ca="1">N267+N268</f>
        <v>11660</v>
      </c>
      <c r="O266" s="715">
        <f ca="1">IF(L266&gt;0,N266*100/L266,0)</f>
        <v>233.2</v>
      </c>
      <c r="P266" s="715">
        <f ca="1">IF(M266&gt;0,N266*100/M266,0)</f>
        <v>79.863013698630141</v>
      </c>
      <c r="Q266" s="715">
        <f ca="1">Q267+Q268</f>
        <v>50660</v>
      </c>
      <c r="R266" s="715">
        <f ca="1">R267+R268</f>
        <v>50660</v>
      </c>
      <c r="S266" s="715">
        <f ca="1">S267+S268</f>
        <v>48750</v>
      </c>
      <c r="T266" s="715">
        <f ca="1">IF(Q266&gt;0,S266*100/Q266,0)</f>
        <v>96.229767074615083</v>
      </c>
      <c r="U266" s="715">
        <f ca="1">IF(R266&gt;0,S266*100/R266,0)</f>
        <v>96.229767074615083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14600</v>
      </c>
      <c r="N268" s="558">
        <f ca="1">N271+N274</f>
        <v>11660</v>
      </c>
      <c r="O268" s="558">
        <f ca="1">IF(L268&gt;0,N268*100/L268,0)</f>
        <v>233.2</v>
      </c>
      <c r="P268" s="558">
        <f ca="1">IF(M268&gt;0,N268*100/M268,0)</f>
        <v>79.863013698630141</v>
      </c>
      <c r="Q268" s="558">
        <f ca="1">Q271+Q274</f>
        <v>50660</v>
      </c>
      <c r="R268" s="558">
        <f ca="1">R271+R274</f>
        <v>50660</v>
      </c>
      <c r="S268" s="558">
        <f ca="1">S271+S274</f>
        <v>48750</v>
      </c>
      <c r="T268" s="558">
        <f ca="1">IF(Q268&gt;0,S268*100/Q268,0)</f>
        <v>96.229767074615083</v>
      </c>
      <c r="U268" s="558">
        <f ca="1">IF(R268&gt;0,S268*100/R268,0)</f>
        <v>96.229767074615083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14600</v>
      </c>
      <c r="N269" s="558">
        <f ca="1">N270+N271</f>
        <v>11660</v>
      </c>
      <c r="O269" s="558">
        <f ca="1">IF(L269&gt;0,N269*100/L269,0)</f>
        <v>233.2</v>
      </c>
      <c r="P269" s="558">
        <f ca="1">IF(M269&gt;0,N269*100/M269,0)</f>
        <v>79.863013698630141</v>
      </c>
      <c r="Q269" s="558">
        <f ca="1">Q270+Q271</f>
        <v>50660</v>
      </c>
      <c r="R269" s="558">
        <f ca="1">R270+R271</f>
        <v>50660</v>
      </c>
      <c r="S269" s="558">
        <f ca="1">S270+S271</f>
        <v>48750</v>
      </c>
      <c r="T269" s="558">
        <f ca="1">IF(Q269&gt;0,S269*100/Q269,0)</f>
        <v>96.229767074615083</v>
      </c>
      <c r="U269" s="558">
        <f ca="1">IF(R269&gt;0,S269*100/R269,0)</f>
        <v>96.229767074615083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IFERROR(__xludf.DUMMYFUNCTION("IMPORTRANGE(""https://docs.google.com/spreadsheets/d/1-uDff_7J0KD5mKrp0Vvzr7lt3OU09vwQwhkpOPPYv2Y/edit?usp=sharing"",""งบพรบ!DE30"")"),5000)</f>
        <v>5000</v>
      </c>
      <c r="M271" s="558">
        <f ca="1">IFERROR(__xludf.DUMMYFUNCTION("IMPORTRANGE(""https://docs.google.com/spreadsheets/d/1-uDff_7J0KD5mKrp0Vvzr7lt3OU09vwQwhkpOPPYv2Y/edit?usp=sharing"",""งบพรบ!DJ30"")"),14600)</f>
        <v>14600</v>
      </c>
      <c r="N271" s="558">
        <f ca="1">IFERROR(__xludf.DUMMYFUNCTION("IMPORTRANGE(""https://docs.google.com/spreadsheets/d/1-uDff_7J0KD5mKrp0Vvzr7lt3OU09vwQwhkpOPPYv2Y/edit?usp=sharing"",""งบพรบ!DL30"")"),11660)</f>
        <v>11660</v>
      </c>
      <c r="O271" s="558">
        <f ca="1">IF(L271&gt;0,N271*100/L271,0)</f>
        <v>233.2</v>
      </c>
      <c r="P271" s="558">
        <f ca="1">IF(M271&gt;0,N271*100/M271,0)</f>
        <v>79.863013698630141</v>
      </c>
      <c r="Q271" s="558">
        <f ca="1">IFERROR(__xludf.DUMMYFUNCTION("IMPORTRANGE(""https://docs.google.com/spreadsheets/d/1ItG2mGa2ceCfYo0BwxsXqNm01IGEUdYcSSLTEv9YCik/edit?usp=sharing"",""เบิกจ่ายกองทุน!AP30"")"),50660)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IFERROR(__xludf.DUMMYFUNCTION("IMPORTRANGE(""https://docs.google.com/spreadsheets/d/1ItG2mGa2ceCfYo0BwxsXqNm01IGEUdYcSSLTEv9YCik/edit?usp=sharing"",""เบิกจ่ายกองทุน!AQ30"")"),50660)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IFERROR(__xludf.DUMMYFUNCTION("IMPORTRANGE(""https://docs.google.com/spreadsheets/d/1ItG2mGa2ceCfYo0BwxsXqNm01IGEUdYcSSLTEv9YCik/edit?usp=sharing"",""เบิกจ่ายกองทุน!AR30"")"),48750)</f>
        <v>48750</v>
      </c>
      <c r="T271" s="558">
        <f ca="1">IF(Q271&gt;0,S271*100/Q271,0)</f>
        <v>96.229767074615083</v>
      </c>
      <c r="U271" s="558">
        <f ca="1">IF(R271&gt;0,S271*100/R271,0)</f>
        <v>96.229767074615083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IFERROR(__xludf.DUMMYFUNCTION("IMPORTRANGE(""https://docs.google.com/spreadsheets/d/1-uDff_7J0KD5mKrp0Vvzr7lt3OU09vwQwhkpOPPYv2Y/edit?usp=sharing"",""งบพรบ!DH30"")"),0)</f>
        <v>0</v>
      </c>
      <c r="M274" s="558">
        <f ca="1">IFERROR(__xludf.DUMMYFUNCTION("IMPORTRANGE(""https://docs.google.com/spreadsheets/d/1-uDff_7J0KD5mKrp0Vvzr7lt3OU09vwQwhkpOPPYv2Y/edit?usp=sharing"",""งบพรบ!DK30"")"),0)</f>
        <v>0</v>
      </c>
      <c r="N274" s="558">
        <f ca="1">IFERROR(__xludf.DUMMYFUNCTION("IMPORTRANGE(""https://docs.google.com/spreadsheets/d/1-uDff_7J0KD5mKrp0Vvzr7lt3OU09vwQwhkpOPPYv2Y/edit?usp=sharing"",""งบพรบ!DM30"")"),0)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IFERROR(__xludf.DUMMYFUNCTION("IMPORTRANGE(""https://docs.google.com/spreadsheets/d/1eHaY18a8A9IcSdp1K8H6x8fbOy06t2VsZHhMHf-1x7Y/edit?usp=sharing"",""แผน!EC30"")"),22)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100120</v>
      </c>
      <c r="M282" s="547">
        <f ca="1">M283+M284</f>
        <v>106340</v>
      </c>
      <c r="N282" s="547">
        <f ca="1">N283+N284</f>
        <v>73328.5</v>
      </c>
      <c r="O282" s="547">
        <f ca="1">IF(L282&gt;0,N282*100/L282,0)</f>
        <v>73.240611266480229</v>
      </c>
      <c r="P282" s="547">
        <f ca="1">IF(M282&gt;0,N282*100/M282,0)</f>
        <v>68.956648485988339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100120</v>
      </c>
      <c r="M284" s="224">
        <f ca="1">M287+M290</f>
        <v>106340</v>
      </c>
      <c r="N284" s="224">
        <f ca="1">N287+N290</f>
        <v>73328.5</v>
      </c>
      <c r="O284" s="224">
        <f ca="1">IF(L284&gt;0,N284*100/L284,0)</f>
        <v>73.240611266480229</v>
      </c>
      <c r="P284" s="224">
        <f ca="1">IF(M284&gt;0,N284*100/M284,0)</f>
        <v>68.956648485988339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100120</v>
      </c>
      <c r="M285" s="224">
        <f ca="1">M286+M287</f>
        <v>106340</v>
      </c>
      <c r="N285" s="224">
        <f ca="1">N286+N287</f>
        <v>73328.5</v>
      </c>
      <c r="O285" s="224">
        <f ca="1">IF(L285&gt;0,N285*100/L285,0)</f>
        <v>73.240611266480229</v>
      </c>
      <c r="P285" s="224">
        <f ca="1">IF(M285&gt;0,N285*100/M285,0)</f>
        <v>68.956648485988339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IFERROR(__xludf.DUMMYFUNCTION("IMPORTRANGE(""https://docs.google.com/spreadsheets/d/1-uDff_7J0KD5mKrp0Vvzr7lt3OU09vwQwhkpOPPYv2Y/edit?usp=sharing"",""งบพรบ!DO30"")"),100120)</f>
        <v>100120</v>
      </c>
      <c r="M287" s="224">
        <f ca="1">IFERROR(__xludf.DUMMYFUNCTION("IMPORTRANGE(""https://docs.google.com/spreadsheets/d/1-uDff_7J0KD5mKrp0Vvzr7lt3OU09vwQwhkpOPPYv2Y/edit?usp=sharing"",""งบพรบ!DT30"")"),106340)</f>
        <v>106340</v>
      </c>
      <c r="N287" s="224">
        <f ca="1">IFERROR(__xludf.DUMMYFUNCTION("IMPORTRANGE(""https://docs.google.com/spreadsheets/d/1-uDff_7J0KD5mKrp0Vvzr7lt3OU09vwQwhkpOPPYv2Y/edit?usp=sharing"",""งบพรบ!DV30"")"),73328.5)</f>
        <v>73328.5</v>
      </c>
      <c r="O287" s="224">
        <f ca="1">IF(L287&gt;0,N287*100/L287,0)</f>
        <v>73.240611266480229</v>
      </c>
      <c r="P287" s="224">
        <f ca="1">IF(M287&gt;0,N287*100/M287,0)</f>
        <v>68.956648485988339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IFERROR(__xludf.DUMMYFUNCTION("IMPORTRANGE(""https://docs.google.com/spreadsheets/d/1-uDff_7J0KD5mKrp0Vvzr7lt3OU09vwQwhkpOPPYv2Y/edit?usp=sharing"",""งบพรบ!DR30"")"),0)</f>
        <v>0</v>
      </c>
      <c r="M290" s="224">
        <f ca="1">IFERROR(__xludf.DUMMYFUNCTION("IMPORTRANGE(""https://docs.google.com/spreadsheets/d/1-uDff_7J0KD5mKrp0Vvzr7lt3OU09vwQwhkpOPPYv2Y/edit?usp=sharing"",""งบพรบ!DU30"")"),0)</f>
        <v>0</v>
      </c>
      <c r="N290" s="224">
        <f ca="1">IFERROR(__xludf.DUMMYFUNCTION("IMPORTRANGE(""https://docs.google.com/spreadsheets/d/1-uDff_7J0KD5mKrp0Vvzr7lt3OU09vwQwhkpOPPYv2Y/edit?usp=sharing"",""งบพรบ!DW30"")"),0)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IFERROR(__xludf.DUMMYFUNCTION("IMPORTRANGE(""https://docs.google.com/spreadsheets/d/1eHaY18a8A9IcSdp1K8H6x8fbOy06t2VsZHhMHf-1x7Y/edit?usp=sharing"",""แผน!EE30"")"),300)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IFERROR(__xludf.DUMMYFUNCTION("IMPORTRANGE(""https://docs.google.com/spreadsheets/d/1eHaY18a8A9IcSdp1K8H6x8fbOy06t2VsZHhMHf-1x7Y/edit?usp=sharing"",""แผน!ED30"")"),30)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IFERROR(__xludf.DUMMYFUNCTION("IMPORTRANGE(""https://docs.google.com/spreadsheets/d/1eHaY18a8A9IcSdp1K8H6x8fbOy06t2VsZHhMHf-1x7Y/edit?usp=sharing"",""แผน!ED30"")"),30)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IFERROR(__xludf.DUMMYFUNCTION("IMPORTRANGE(""https://docs.google.com/spreadsheets/d/1eHaY18a8A9IcSdp1K8H6x8fbOy06t2VsZHhMHf-1x7Y/edit?usp=sharing"",""แผน!ED30"")"),30)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IFERROR(__xludf.DUMMYFUNCTION("IMPORTRANGE(""https://docs.google.com/spreadsheets/d/1eHaY18a8A9IcSdp1K8H6x8fbOy06t2VsZHhMHf-1x7Y/edit?usp=sharing"",""แผน!ED30"")"),30)</f>
        <v>30</v>
      </c>
      <c r="J298" s="380">
        <v>0</v>
      </c>
      <c r="K298" s="569">
        <f ca="1">IF(I298&gt;0,J298*100/I298,0)</f>
        <v>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IFERROR(__xludf.DUMMYFUNCTION("IMPORTRANGE(""https://docs.google.com/spreadsheets/d/1eHaY18a8A9IcSdp1K8H6x8fbOy06t2VsZHhMHf-1x7Y/edit?usp=sharing"",""แผน!ED30"")"),30)</f>
        <v>30</v>
      </c>
      <c r="J299" s="380">
        <v>0</v>
      </c>
      <c r="K299" s="569">
        <f ca="1">IF(I299&gt;0,J299*100/I299,0)</f>
        <v>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264500</v>
      </c>
      <c r="M303" s="547">
        <f ca="1">M304+M305</f>
        <v>399300</v>
      </c>
      <c r="N303" s="547">
        <f ca="1">N304+N305</f>
        <v>301267.08</v>
      </c>
      <c r="O303" s="547">
        <f ca="1">IF(L303&gt;0,N303*100/L303,0)</f>
        <v>113.90059735349716</v>
      </c>
      <c r="P303" s="547">
        <f ca="1">IF(M303&gt;0,N303*100/M303,0)</f>
        <v>75.448805409466573</v>
      </c>
      <c r="Q303" s="547">
        <f ca="1">Q304+Q305</f>
        <v>144609.24</v>
      </c>
      <c r="R303" s="547">
        <f ca="1">R304+R305</f>
        <v>148809</v>
      </c>
      <c r="S303" s="547">
        <f ca="1">S304+S305</f>
        <v>99060</v>
      </c>
      <c r="T303" s="547">
        <f ca="1">IF(Q303&gt;0,S303*100/Q303,0)</f>
        <v>68.501846769957439</v>
      </c>
      <c r="U303" s="547">
        <f ca="1">IF(R303&gt;0,S303*100/R303,0)</f>
        <v>66.568554321311211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264500</v>
      </c>
      <c r="M305" s="224">
        <f ca="1">M308+M311</f>
        <v>399300</v>
      </c>
      <c r="N305" s="224">
        <f ca="1">N308+N311</f>
        <v>301267.08</v>
      </c>
      <c r="O305" s="224">
        <f ca="1">IF(L305&gt;0,N305*100/L305,0)</f>
        <v>113.90059735349716</v>
      </c>
      <c r="P305" s="224">
        <f ca="1">IF(M305&gt;0,N305*100/M305,0)</f>
        <v>75.448805409466573</v>
      </c>
      <c r="Q305" s="224">
        <f ca="1">Q308+Q311</f>
        <v>144609.24</v>
      </c>
      <c r="R305" s="224">
        <f ca="1">R308+R311</f>
        <v>148809</v>
      </c>
      <c r="S305" s="224">
        <f ca="1">S308+S311</f>
        <v>99060</v>
      </c>
      <c r="T305" s="224">
        <f ca="1">IF(Q305&gt;0,S305*100/Q305,0)</f>
        <v>68.501846769957439</v>
      </c>
      <c r="U305" s="224">
        <f ca="1">IF(R305&gt;0,S305*100/R305,0)</f>
        <v>66.568554321311211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264500</v>
      </c>
      <c r="M306" s="224">
        <f ca="1">M307+M308</f>
        <v>399300</v>
      </c>
      <c r="N306" s="224">
        <f ca="1">N307+N308</f>
        <v>301267.08</v>
      </c>
      <c r="O306" s="224">
        <f ca="1">IF(L306&gt;0,N306*100/L306,0)</f>
        <v>113.90059735349716</v>
      </c>
      <c r="P306" s="224">
        <f ca="1">IF(M306&gt;0,N306*100/M306,0)</f>
        <v>75.448805409466573</v>
      </c>
      <c r="Q306" s="224">
        <f ca="1">Q307+Q308</f>
        <v>144609.24</v>
      </c>
      <c r="R306" s="224">
        <f ca="1">R307+R308</f>
        <v>148809</v>
      </c>
      <c r="S306" s="224">
        <f ca="1">S307+S308</f>
        <v>99060</v>
      </c>
      <c r="T306" s="224">
        <f ca="1">IF(Q306&gt;0,S306*100/Q306,0)</f>
        <v>68.501846769957439</v>
      </c>
      <c r="U306" s="224">
        <f ca="1">IF(R306&gt;0,S306*100/R306,0)</f>
        <v>66.568554321311211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IFERROR(__xludf.DUMMYFUNCTION("IMPORTRANGE(""https://docs.google.com/spreadsheets/d/1-uDff_7J0KD5mKrp0Vvzr7lt3OU09vwQwhkpOPPYv2Y/edit?usp=sharing"",""งบพรบ!DY30"")"),264500)</f>
        <v>264500</v>
      </c>
      <c r="M308" s="224">
        <f ca="1">IFERROR(__xludf.DUMMYFUNCTION("IMPORTRANGE(""https://docs.google.com/spreadsheets/d/1-uDff_7J0KD5mKrp0Vvzr7lt3OU09vwQwhkpOPPYv2Y/edit?usp=sharing"",""งบพรบ!ED30"")"),399300)</f>
        <v>399300</v>
      </c>
      <c r="N308" s="224">
        <f ca="1">IFERROR(__xludf.DUMMYFUNCTION("IMPORTRANGE(""https://docs.google.com/spreadsheets/d/1-uDff_7J0KD5mKrp0Vvzr7lt3OU09vwQwhkpOPPYv2Y/edit?usp=sharing"",""งบพรบ!EF30"")"),301267.08)</f>
        <v>301267.08</v>
      </c>
      <c r="O308" s="224">
        <f ca="1">IF(L308&gt;0,N308*100/L308,0)</f>
        <v>113.90059735349716</v>
      </c>
      <c r="P308" s="224">
        <f ca="1">IF(M308&gt;0,N308*100/M308,0)</f>
        <v>75.448805409466573</v>
      </c>
      <c r="Q308" s="224">
        <f ca="1">IFERROR(__xludf.DUMMYFUNCTION("IMPORTRANGE(""https://docs.google.com/spreadsheets/d/1ItG2mGa2ceCfYo0BwxsXqNm01IGEUdYcSSLTEv9YCik/edit?usp=sharing"",""เบิกจ่ายกองทุน!BB30"")"),144609.24)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IFERROR(__xludf.DUMMYFUNCTION("IMPORTRANGE(""https://docs.google.com/spreadsheets/d/1ItG2mGa2ceCfYo0BwxsXqNm01IGEUdYcSSLTEv9YCik/edit?usp=sharing"",""เบิกจ่ายกองทุน!BC30"")"),148809)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IFERROR(__xludf.DUMMYFUNCTION("IMPORTRANGE(""https://docs.google.com/spreadsheets/d/1ItG2mGa2ceCfYo0BwxsXqNm01IGEUdYcSSLTEv9YCik/edit?usp=sharing"",""เบิกจ่ายกองทุน!BD30"")"),99060)</f>
        <v>99060</v>
      </c>
      <c r="T308" s="224">
        <f ca="1">IF(Q308&gt;0,S308*100/Q308,0)</f>
        <v>68.501846769957439</v>
      </c>
      <c r="U308" s="224">
        <f ca="1">IF(R308&gt;0,S308*100/R308,0)</f>
        <v>66.568554321311211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IFERROR(__xludf.DUMMYFUNCTION("IMPORTRANGE(""https://docs.google.com/spreadsheets/d/1-uDff_7J0KD5mKrp0Vvzr7lt3OU09vwQwhkpOPPYv2Y/edit?usp=sharing"",""งบพรบ!EB30"")"),0)</f>
        <v>0</v>
      </c>
      <c r="M311" s="224">
        <f ca="1">IFERROR(__xludf.DUMMYFUNCTION("IMPORTRANGE(""https://docs.google.com/spreadsheets/d/1-uDff_7J0KD5mKrp0Vvzr7lt3OU09vwQwhkpOPPYv2Y/edit?usp=sharing"",""งบพรบ!EE30"")"),0)</f>
        <v>0</v>
      </c>
      <c r="N311" s="224">
        <f ca="1">IFERROR(__xludf.DUMMYFUNCTION("IMPORTRANGE(""https://docs.google.com/spreadsheets/d/1-uDff_7J0KD5mKrp0Vvzr7lt3OU09vwQwhkpOPPYv2Y/edit?usp=sharing"",""งบพรบ!EG30"")"),0)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IFERROR(__xludf.DUMMYFUNCTION("IMPORTRANGE(""https://docs.google.com/spreadsheets/d/1eHaY18a8A9IcSdp1K8H6x8fbOy06t2VsZHhMHf-1x7Y/edit?usp=sharing"",""แผน!EF30"")"),20)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1</v>
      </c>
      <c r="K319" s="631">
        <f ca="1">IF(I319&gt;0,J319*100/I319,0)</f>
        <v>100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374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125000</v>
      </c>
      <c r="M320" s="547">
        <f ca="1">M321+M322</f>
        <v>125000</v>
      </c>
      <c r="N320" s="547">
        <f ca="1">N321+N322</f>
        <v>98210</v>
      </c>
      <c r="O320" s="547">
        <f ca="1">IF(L320&gt;0,N320*100/L320,0)</f>
        <v>78.567999999999998</v>
      </c>
      <c r="P320" s="547">
        <f ca="1">IF(M320&gt;0,N320*100/M320,0)</f>
        <v>78.567999999999998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125000</v>
      </c>
      <c r="M322" s="224">
        <f ca="1">M325+M328</f>
        <v>125000</v>
      </c>
      <c r="N322" s="224">
        <f ca="1">N325+N328</f>
        <v>98210</v>
      </c>
      <c r="O322" s="224">
        <f ca="1">IF(L322&gt;0,N322*100/L322,0)</f>
        <v>78.567999999999998</v>
      </c>
      <c r="P322" s="224">
        <f ca="1">IF(M322&gt;0,N322*100/M322,0)</f>
        <v>78.567999999999998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125000</v>
      </c>
      <c r="M323" s="224">
        <f ca="1">M324+M325</f>
        <v>125000</v>
      </c>
      <c r="N323" s="224">
        <f ca="1">N324+N325</f>
        <v>98210</v>
      </c>
      <c r="O323" s="224">
        <f ca="1">IF(L323&gt;0,N323*100/L323,0)</f>
        <v>78.567999999999998</v>
      </c>
      <c r="P323" s="224">
        <f ca="1">IF(M323&gt;0,N323*100/M323,0)</f>
        <v>78.567999999999998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IFERROR(__xludf.DUMMYFUNCTION("IMPORTRANGE(""https://docs.google.com/spreadsheets/d/1-uDff_7J0KD5mKrp0Vvzr7lt3OU09vwQwhkpOPPYv2Y/edit?usp=sharing"",""งบพรบ!EI30"")"),125000)</f>
        <v>125000</v>
      </c>
      <c r="M325" s="224">
        <f ca="1">IFERROR(__xludf.DUMMYFUNCTION("IMPORTRANGE(""https://docs.google.com/spreadsheets/d/1-uDff_7J0KD5mKrp0Vvzr7lt3OU09vwQwhkpOPPYv2Y/edit?usp=sharing"",""งบพรบ!EN30"")"),125000)</f>
        <v>125000</v>
      </c>
      <c r="N325" s="224">
        <f ca="1">IFERROR(__xludf.DUMMYFUNCTION("IMPORTRANGE(""https://docs.google.com/spreadsheets/d/1-uDff_7J0KD5mKrp0Vvzr7lt3OU09vwQwhkpOPPYv2Y/edit?usp=sharing"",""งบพรบ!EP30"")"),98210)</f>
        <v>98210</v>
      </c>
      <c r="O325" s="224">
        <f ca="1">IF(L325&gt;0,N325*100/L325,0)</f>
        <v>78.567999999999998</v>
      </c>
      <c r="P325" s="224">
        <f ca="1">IF(M325&gt;0,N325*100/M325,0)</f>
        <v>78.567999999999998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IFERROR(__xludf.DUMMYFUNCTION("IMPORTRANGE(""https://docs.google.com/spreadsheets/d/1-uDff_7J0KD5mKrp0Vvzr7lt3OU09vwQwhkpOPPYv2Y/edit?usp=sharing"",""งบพรบ!EL30"")"),0)</f>
        <v>0</v>
      </c>
      <c r="M328" s="224">
        <f ca="1">IFERROR(__xludf.DUMMYFUNCTION("IMPORTRANGE(""https://docs.google.com/spreadsheets/d/1-uDff_7J0KD5mKrp0Vvzr7lt3OU09vwQwhkpOPPYv2Y/edit?usp=sharing"",""งบพรบ!EO30"")"),0)</f>
        <v>0</v>
      </c>
      <c r="N328" s="224">
        <f ca="1">IFERROR(__xludf.DUMMYFUNCTION("IMPORTRANGE(""https://docs.google.com/spreadsheets/d/1-uDff_7J0KD5mKrp0Vvzr7lt3OU09vwQwhkpOPPYv2Y/edit?usp=sharing"",""งบพรบ!EQ30"")"),0)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374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IFERROR(__xludf.DUMMYFUNCTION("IMPORTRANGE(""https://docs.google.com/spreadsheets/d/1eHaY18a8A9IcSdp1K8H6x8fbOy06t2VsZHhMHf-1x7Y/edit?usp=sharing"",""แผน!EJ30"")"),1)</f>
        <v>1</v>
      </c>
      <c r="J330" s="380">
        <v>1</v>
      </c>
      <c r="K330" s="224">
        <f ca="1">IF(I330&gt;0,J330*100/I330,0)</f>
        <v>100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IFERROR(__xludf.DUMMYFUNCTION("IMPORTRANGE(""https://docs.google.com/spreadsheets/d/1eHaY18a8A9IcSdp1K8H6x8fbOy06t2VsZHhMHf-1x7Y/edit?usp=sharing"",""แผน!EK30"")"),2500)</f>
        <v>2500</v>
      </c>
      <c r="J332" s="300">
        <f ca="1">J344+J347+J348+J349+J353+J354</f>
        <v>5333</v>
      </c>
      <c r="K332" s="679">
        <f ca="1">IF(I332&gt;0,J332*100/I332,0)</f>
        <v>213.32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185000</v>
      </c>
      <c r="M333" s="547">
        <f ca="1">M334+M335</f>
        <v>185000</v>
      </c>
      <c r="N333" s="547">
        <f ca="1">N334+N335</f>
        <v>158792</v>
      </c>
      <c r="O333" s="547">
        <f ca="1">IF(L333&gt;0,N333*100/L333,0)</f>
        <v>85.833513513513509</v>
      </c>
      <c r="P333" s="547">
        <f ca="1">IF(M333&gt;0,N333*100/M333,0)</f>
        <v>85.833513513513509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185000</v>
      </c>
      <c r="M335" s="224">
        <f ca="1">M338+M341</f>
        <v>185000</v>
      </c>
      <c r="N335" s="224">
        <f ca="1">N338+N341</f>
        <v>158792</v>
      </c>
      <c r="O335" s="224">
        <f ca="1">IF(L335&gt;0,N335*100/L335,0)</f>
        <v>85.833513513513509</v>
      </c>
      <c r="P335" s="224">
        <f ca="1">IF(M335&gt;0,N335*100/M335,0)</f>
        <v>85.833513513513509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185000</v>
      </c>
      <c r="M336" s="224">
        <f ca="1">M337+M338</f>
        <v>185000</v>
      </c>
      <c r="N336" s="224">
        <f ca="1">N337+N338</f>
        <v>158792</v>
      </c>
      <c r="O336" s="224">
        <f ca="1">IF(L336&gt;0,N336*100/L336,0)</f>
        <v>85.833513513513509</v>
      </c>
      <c r="P336" s="224">
        <f ca="1">IF(M336&gt;0,N336*100/M336,0)</f>
        <v>85.833513513513509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IFERROR(__xludf.DUMMYFUNCTION("IMPORTRANGE(""https://docs.google.com/spreadsheets/d/1-uDff_7J0KD5mKrp0Vvzr7lt3OU09vwQwhkpOPPYv2Y/edit?usp=sharing"",""งบพรบ!ES30"")"),185000)</f>
        <v>185000</v>
      </c>
      <c r="M338" s="224">
        <f ca="1">IFERROR(__xludf.DUMMYFUNCTION("IMPORTRANGE(""https://docs.google.com/spreadsheets/d/1-uDff_7J0KD5mKrp0Vvzr7lt3OU09vwQwhkpOPPYv2Y/edit?usp=sharing"",""งบพรบ!EX30"")"),185000)</f>
        <v>185000</v>
      </c>
      <c r="N338" s="224">
        <f ca="1">IFERROR(__xludf.DUMMYFUNCTION("IMPORTRANGE(""https://docs.google.com/spreadsheets/d/1-uDff_7J0KD5mKrp0Vvzr7lt3OU09vwQwhkpOPPYv2Y/edit?usp=sharing"",""งบพรบ!EZ30"")"),158792)</f>
        <v>158792</v>
      </c>
      <c r="O338" s="224">
        <f ca="1">IF(L338&gt;0,N338*100/L338,0)</f>
        <v>85.833513513513509</v>
      </c>
      <c r="P338" s="224">
        <f ca="1">IF(M338&gt;0,N338*100/M338,0)</f>
        <v>85.833513513513509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IFERROR(__xludf.DUMMYFUNCTION("IMPORTRANGE(""https://docs.google.com/spreadsheets/d/1-uDff_7J0KD5mKrp0Vvzr7lt3OU09vwQwhkpOPPYv2Y/edit?usp=sharing"",""งบพรบ!EV30"")"),0)</f>
        <v>0</v>
      </c>
      <c r="M341" s="224">
        <f ca="1">IFERROR(__xludf.DUMMYFUNCTION("IMPORTRANGE(""https://docs.google.com/spreadsheets/d/1-uDff_7J0KD5mKrp0Vvzr7lt3OU09vwQwhkpOPPYv2Y/edit?usp=sharing"",""งบพรบ!EY30"")"),0)</f>
        <v>0</v>
      </c>
      <c r="N341" s="224">
        <f ca="1">IFERROR(__xludf.DUMMYFUNCTION("IMPORTRANGE(""https://docs.google.com/spreadsheets/d/1-uDff_7J0KD5mKrp0Vvzr7lt3OU09vwQwhkpOPPYv2Y/edit?usp=sharing"",""งบพรบ!FA30"")"),0)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1540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IFERROR(__xludf.DUMMYFUNCTION("IMPORTRANGE(""https://docs.google.com/spreadsheets/d/1awYsYK3VOup2i3Pq_Yjnu8DRu_mYwSBnCR2QPthd0rU/edit?usp=sharing"",""ศูนย์ยกเว้นโฉนด!D30"")"),1468)</f>
        <v>1468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IFERROR(__xludf.DUMMYFUNCTION("IMPORTRANGE(""https://docs.google.com/spreadsheets/d/1eHaY18a8A9IcSdp1K8H6x8fbOy06t2VsZHhMHf-1x7Y/edit?usp=sharing"",""แผน!EL30"")"),6)</f>
        <v>6</v>
      </c>
      <c r="J346" s="184">
        <f ca="1">IFERROR(__xludf.DUMMYFUNCTION("IMPORTRANGE(""https://docs.google.com/spreadsheets/d/1awYsYK3VOup2i3Pq_Yjnu8DRu_mYwSBnCR2QPthd0rU/edit?usp=sharing"",""ศูนย์รวม!E30"")"),6)</f>
        <v>6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IFERROR(__xludf.DUMMYFUNCTION("IMPORTRANGE(""https://docs.google.com/spreadsheets/d/1awYsYK3VOup2i3Pq_Yjnu8DRu_mYwSBnCR2QPthd0rU/edit?usp=sharing"",""ศูนย์ยกเว้นโฉนด!F30"")"),71)</f>
        <v>71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IFERROR(__xludf.DUMMYFUNCTION("IMPORTRANGE(""https://docs.google.com/spreadsheets/d/1awYsYK3VOup2i3Pq_Yjnu8DRu_mYwSBnCR2QPthd0rU/edit?usp=sharing"",""ศูนย์ยกเว้นโฉนด!G30"")"),1)</f>
        <v>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IFERROR(__xludf.DUMMYFUNCTION("IMPORTRANGE(""https://docs.google.com/spreadsheets/d/1awYsYK3VOup2i3Pq_Yjnu8DRu_mYwSBnCR2QPthd0rU/edit?usp=sharing"",""ศูนย์ยกเว้นโฉนด!H30"")"),0)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3793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IFERROR(__xludf.DUMMYFUNCTION("IMPORTRANGE(""https://docs.google.com/spreadsheets/d/1awYsYK3VOup2i3Pq_Yjnu8DRu_mYwSBnCR2QPthd0rU/edit?usp=sharing"",""โฉนดM3!G30"")"),1221)</f>
        <v>1221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IFERROR(__xludf.DUMMYFUNCTION("IMPORTRANGE(""https://docs.google.com/spreadsheets/d/1awYsYK3VOup2i3Pq_Yjnu8DRu_mYwSBnCR2QPthd0rU/edit?usp=sharing"",""โฉนดM3!H30"")"),3011)</f>
        <v>3011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IFERROR(__xludf.DUMMYFUNCTION("IMPORTRANGE(""https://docs.google.com/spreadsheets/d/1awYsYK3VOup2i3Pq_Yjnu8DRu_mYwSBnCR2QPthd0rU/edit?usp=sharing"",""โฉนดM3!I30"")"),782)</f>
        <v>782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680500</v>
      </c>
      <c r="M356" s="547">
        <f ca="1">M357+M358</f>
        <v>785500</v>
      </c>
      <c r="N356" s="547">
        <f ca="1">N357+N358</f>
        <v>633680</v>
      </c>
      <c r="O356" s="547">
        <f ca="1">IF(L356&gt;0,N356*100/L356,0)</f>
        <v>93.119764878765608</v>
      </c>
      <c r="P356" s="547">
        <f ca="1">IF(M356&gt;0,N356*100/M356,0)</f>
        <v>80.672183322724379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680500</v>
      </c>
      <c r="M358" s="224">
        <f ca="1">M361+M364</f>
        <v>785500</v>
      </c>
      <c r="N358" s="224">
        <f ca="1">N361+N364</f>
        <v>633680</v>
      </c>
      <c r="O358" s="224">
        <f ca="1">IF(L358&gt;0,N358*100/L358,0)</f>
        <v>93.119764878765608</v>
      </c>
      <c r="P358" s="224">
        <f ca="1">IF(M358&gt;0,N358*100/M358,0)</f>
        <v>80.672183322724379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680500</v>
      </c>
      <c r="M359" s="224">
        <f ca="1">M360+M361</f>
        <v>785500</v>
      </c>
      <c r="N359" s="224">
        <f ca="1">N360+N361</f>
        <v>633680</v>
      </c>
      <c r="O359" s="224">
        <f ca="1">IF(L359&gt;0,N359*100/L359,0)</f>
        <v>93.119764878765608</v>
      </c>
      <c r="P359" s="224">
        <f ca="1">IF(M359&gt;0,N359*100/M359,0)</f>
        <v>80.672183322724379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IFERROR(__xludf.DUMMYFUNCTION("IMPORTRANGE(""https://docs.google.com/spreadsheets/d/1-uDff_7J0KD5mKrp0Vvzr7lt3OU09vwQwhkpOPPYv2Y/edit?usp=sharing"",""งบพรบ!FC30"")"),680500)</f>
        <v>680500</v>
      </c>
      <c r="M361" s="224">
        <f ca="1">IFERROR(__xludf.DUMMYFUNCTION("IMPORTRANGE(""https://docs.google.com/spreadsheets/d/1-uDff_7J0KD5mKrp0Vvzr7lt3OU09vwQwhkpOPPYv2Y/edit?usp=sharing"",""งบพรบ!FH30"")"),785500)</f>
        <v>785500</v>
      </c>
      <c r="N361" s="224">
        <f ca="1">IFERROR(__xludf.DUMMYFUNCTION("IMPORTRANGE(""https://docs.google.com/spreadsheets/d/1-uDff_7J0KD5mKrp0Vvzr7lt3OU09vwQwhkpOPPYv2Y/edit?usp=sharing"",""งบพรบ!FJ30"")"),633680)</f>
        <v>633680</v>
      </c>
      <c r="O361" s="224">
        <f ca="1">IF(L361&gt;0,N361*100/L361,0)</f>
        <v>93.119764878765608</v>
      </c>
      <c r="P361" s="224">
        <f ca="1">IF(M361&gt;0,N361*100/M361,0)</f>
        <v>80.672183322724379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IFERROR(__xludf.DUMMYFUNCTION("IMPORTRANGE(""https://docs.google.com/spreadsheets/d/1-uDff_7J0KD5mKrp0Vvzr7lt3OU09vwQwhkpOPPYv2Y/edit?usp=sharing"",""งบพรบ!FF30"")"),0)</f>
        <v>0</v>
      </c>
      <c r="M364" s="224">
        <f ca="1">IFERROR(__xludf.DUMMYFUNCTION("IMPORTRANGE(""https://docs.google.com/spreadsheets/d/1-uDff_7J0KD5mKrp0Vvzr7lt3OU09vwQwhkpOPPYv2Y/edit?usp=sharing"",""งบพรบ!FI30"")"),0)</f>
        <v>0</v>
      </c>
      <c r="N364" s="224">
        <f ca="1">IFERROR(__xludf.DUMMYFUNCTION("IMPORTRANGE(""https://docs.google.com/spreadsheets/d/1-uDff_7J0KD5mKrp0Vvzr7lt3OU09vwQwhkpOPPYv2Y/edit?usp=sharing"",""งบพรบ!FK30"")"),0)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314</v>
      </c>
      <c r="J365" s="302">
        <f ca="1">J371</f>
        <v>311</v>
      </c>
      <c r="K365" s="303">
        <f ca="1">IF(I365&gt;0,J365*100/I365,0)</f>
        <v>99.044585987261144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IFERROR(__xludf.DUMMYFUNCTION("IMPORTRANGE(""https://docs.google.com/spreadsheets/d/1tdoBKaGub7dwA3U6UFTqxio9LNnvDCQjHKmttSEBsFQ/edit?usp=sharing"",""จัดที่ดิน!AB30"")"),125)</f>
        <v>125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IFERROR(__xludf.DUMMYFUNCTION("IMPORTRANGE(""https://docs.google.com/spreadsheets/d/1eHaY18a8A9IcSdp1K8H6x8fbOy06t2VsZHhMHf-1x7Y/edit?usp=sharing"",""แผน!EW30"")"),1620)</f>
        <v>1620</v>
      </c>
      <c r="J368" s="668">
        <f ca="1">IFERROR(__xludf.DUMMYFUNCTION("IMPORTRANGE(""https://docs.google.com/spreadsheets/d/1tdoBKaGub7dwA3U6UFTqxio9LNnvDCQjHKmttSEBsFQ/edit?usp=sharing"",""จัดที่ดิน!AC30"")"),1318.31)</f>
        <v>1318.31</v>
      </c>
      <c r="K368" s="224">
        <f ca="1">IF(I368&gt;0,J368*100/I368,0)</f>
        <v>81.377160493827162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IFERROR(__xludf.DUMMYFUNCTION("IMPORTRANGE(""https://docs.google.com/spreadsheets/d/1eHaY18a8A9IcSdp1K8H6x8fbOy06t2VsZHhMHf-1x7Y/edit?usp=sharing"",""แผน!EX30"")"),314)</f>
        <v>314</v>
      </c>
      <c r="J369" s="184">
        <f ca="1">IFERROR(__xludf.DUMMYFUNCTION("IMPORTRANGE(""https://docs.google.com/spreadsheets/d/1tdoBKaGub7dwA3U6UFTqxio9LNnvDCQjHKmttSEBsFQ/edit?usp=sharing"",""จัดที่ดิน!AD30"")"),361)</f>
        <v>361</v>
      </c>
      <c r="K369" s="224">
        <f ca="1">IF(I369&gt;0,J369*100/I369,0)</f>
        <v>114.96815286624204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IFERROR(__xludf.DUMMYFUNCTION("IMPORTRANGE(""https://docs.google.com/spreadsheets/d/1tdoBKaGub7dwA3U6UFTqxio9LNnvDCQjHKmttSEBsFQ/edit?usp=sharing"",""จัดที่ดิน!AE30"")"),6255.84)</f>
        <v>6255.84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IFERROR(__xludf.DUMMYFUNCTION("IMPORTRANGE(""https://docs.google.com/spreadsheets/d/1eHaY18a8A9IcSdp1K8H6x8fbOy06t2VsZHhMHf-1x7Y/edit?usp=sharing"",""แผน!EY30"")"),314)</f>
        <v>314</v>
      </c>
      <c r="J371" s="184">
        <f ca="1">IFERROR(__xludf.DUMMYFUNCTION("IMPORTRANGE(""https://docs.google.com/spreadsheets/d/1tdoBKaGub7dwA3U6UFTqxio9LNnvDCQjHKmttSEBsFQ/edit?usp=sharing"",""จัดที่ดิน!AF30"")"),311)</f>
        <v>311</v>
      </c>
      <c r="K371" s="224">
        <f ca="1">IF(I371&gt;0,J371*100/I371,0)</f>
        <v>99.044585987261144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IFERROR(__xludf.DUMMYFUNCTION("IMPORTRANGE(""https://docs.google.com/spreadsheets/d/1tdoBKaGub7dwA3U6UFTqxio9LNnvDCQjHKmttSEBsFQ/edit?usp=sharing"",""จัดที่ดิน!AG30"")"),5623.26)</f>
        <v>5623.26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4000</v>
      </c>
      <c r="J374" s="660">
        <f ca="1">J386+J388</f>
        <v>2682</v>
      </c>
      <c r="K374" s="659">
        <f ca="1">IF(I374&gt;0,J374*100/I374,0)</f>
        <v>67.05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250000</v>
      </c>
      <c r="R375" s="547">
        <f ca="1">R376+R377</f>
        <v>250000</v>
      </c>
      <c r="S375" s="547">
        <f ca="1">S376+S377</f>
        <v>190584</v>
      </c>
      <c r="T375" s="547">
        <f ca="1">IF(Q375&gt;0,S375*100/Q375,0)</f>
        <v>76.233599999999996</v>
      </c>
      <c r="U375" s="547">
        <f ca="1">IF(R375&gt;0,S375*100/R375,0)</f>
        <v>76.233599999999996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250000</v>
      </c>
      <c r="R377" s="224">
        <f ca="1">R380+R383</f>
        <v>250000</v>
      </c>
      <c r="S377" s="224">
        <f ca="1">S380+S383</f>
        <v>190584</v>
      </c>
      <c r="T377" s="224">
        <f ca="1">IF(Q377&gt;0,S377*100/Q377,0)</f>
        <v>76.233599999999996</v>
      </c>
      <c r="U377" s="224">
        <f ca="1">IF(R377&gt;0,S377*100/R377,0)</f>
        <v>76.233599999999996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250000</v>
      </c>
      <c r="R378" s="224">
        <f ca="1">R379+R380</f>
        <v>250000</v>
      </c>
      <c r="S378" s="224">
        <f ca="1">S379+S380</f>
        <v>190584</v>
      </c>
      <c r="T378" s="224">
        <f ca="1">IF(Q378&gt;0,S378*100/Q378,0)</f>
        <v>76.233599999999996</v>
      </c>
      <c r="U378" s="224">
        <f ca="1">IF(R378&gt;0,S378*100/R378,0)</f>
        <v>76.233599999999996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IFERROR(__xludf.DUMMYFUNCTION("IMPORTRANGE(""https://docs.google.com/spreadsheets/d/1-uDff_7J0KD5mKrp0Vvzr7lt3OU09vwQwhkpOPPYv2Y/edit?usp=sharing"",""งบพรบ!IE30"")"),0)</f>
        <v>0</v>
      </c>
      <c r="M380" s="224">
        <f ca="1">IFERROR(__xludf.DUMMYFUNCTION("IMPORTRANGE(""https://docs.google.com/spreadsheets/d/1-uDff_7J0KD5mKrp0Vvzr7lt3OU09vwQwhkpOPPYv2Y/edit?usp=sharing"",""งบพรบ!IJ30"")"),0)</f>
        <v>0</v>
      </c>
      <c r="N380" s="224">
        <f ca="1">IFERROR(__xludf.DUMMYFUNCTION("IMPORTRANGE(""https://docs.google.com/spreadsheets/d/1-uDff_7J0KD5mKrp0Vvzr7lt3OU09vwQwhkpOPPYv2Y/edit?usp=sharing"",""งบพรบ!IL30"")"),0)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IFERROR(__xludf.DUMMYFUNCTION("IMPORTRANGE(""https://docs.google.com/spreadsheets/d/1ItG2mGa2ceCfYo0BwxsXqNm01IGEUdYcSSLTEv9YCik/edit?usp=sharing"",""เบิกจ่ายกองทุน!BW30"")"),250000)</f>
        <v>250000</v>
      </c>
      <c r="R380" s="224">
        <f ca="1">IFERROR(__xludf.DUMMYFUNCTION("IMPORTRANGE(""https://docs.google.com/spreadsheets/d/1ItG2mGa2ceCfYo0BwxsXqNm01IGEUdYcSSLTEv9YCik/edit?usp=sharing"",""เบิกจ่ายกองทุน!BX30"")"),250000)</f>
        <v>250000</v>
      </c>
      <c r="S380" s="224">
        <f ca="1">IFERROR(__xludf.DUMMYFUNCTION("IMPORTRANGE(""https://docs.google.com/spreadsheets/d/1ItG2mGa2ceCfYo0BwxsXqNm01IGEUdYcSSLTEv9YCik/edit?usp=sharing"",""เบิกจ่ายกองทุน!BY30"")"),190584)</f>
        <v>190584</v>
      </c>
      <c r="T380" s="224">
        <f ca="1">IF(Q380&gt;0,S380*100/Q380,0)</f>
        <v>76.233599999999996</v>
      </c>
      <c r="U380" s="224">
        <f ca="1">IF(R380&gt;0,S380*100/R380,0)</f>
        <v>76.233599999999996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IFERROR(__xludf.DUMMYFUNCTION("IMPORTRANGE(""https://docs.google.com/spreadsheets/d/1-uDff_7J0KD5mKrp0Vvzr7lt3OU09vwQwhkpOPPYv2Y/edit?usp=sharing"",""งบพรบ!IH30"")"),0)</f>
        <v>0</v>
      </c>
      <c r="M383" s="224">
        <f ca="1">IFERROR(__xludf.DUMMYFUNCTION("IMPORTRANGE(""https://docs.google.com/spreadsheets/d/1-uDff_7J0KD5mKrp0Vvzr7lt3OU09vwQwhkpOPPYv2Y/edit?usp=sharing"",""งบพรบ!IK30"")"),0)</f>
        <v>0</v>
      </c>
      <c r="N383" s="224">
        <f ca="1">IFERROR(__xludf.DUMMYFUNCTION("IMPORTRANGE(""https://docs.google.com/spreadsheets/d/1-uDff_7J0KD5mKrp0Vvzr7lt3OU09vwQwhkpOPPYv2Y/edit?usp=sharing"",""งบพรบ!IM30"")"),0)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IFERROR(__xludf.DUMMYFUNCTION("IMPORTRANGE(""https://docs.google.com/spreadsheets/d/1w5rwWK1o49a35cNtocGL0gxDwhFSTZUQu90BiH9_zqM/edit?usp=sharing"",""RTK!H30"")"),204)</f>
        <v>204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IFERROR(__xludf.DUMMYFUNCTION("IMPORTRANGE(""https://docs.google.com/spreadsheets/d/1w5rwWK1o49a35cNtocGL0gxDwhFSTZUQu90BiH9_zqM/edit?usp=sharing"",""RTK!G30"")"),4000)</f>
        <v>4000</v>
      </c>
      <c r="J386" s="184">
        <f ca="1">IFERROR(__xludf.DUMMYFUNCTION("IMPORTRANGE(""https://docs.google.com/spreadsheets/d/1w5rwWK1o49a35cNtocGL0gxDwhFSTZUQu90BiH9_zqM/edit?usp=sharing"",""RTK!I30"")"),2682)</f>
        <v>2682</v>
      </c>
      <c r="K386" s="224">
        <f ca="1">IF(I386&gt;0,J386*100/I386,0)</f>
        <v>67.05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IFERROR(__xludf.DUMMYFUNCTION("IMPORTRANGE(""https://docs.google.com/spreadsheets/d/1w5rwWK1o49a35cNtocGL0gxDwhFSTZUQu90BiH9_zqM/edit?usp=sharing"",""RTK!L30"")"),0)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IFERROR(__xludf.DUMMYFUNCTION("IMPORTRANGE(""https://docs.google.com/spreadsheets/d/1w5rwWK1o49a35cNtocGL0gxDwhFSTZUQu90BiH9_zqM/edit?usp=sharing"",""RTK!K30"")"),0)</f>
        <v>0</v>
      </c>
      <c r="J388" s="559">
        <f ca="1">IFERROR(__xludf.DUMMYFUNCTION("IMPORTRANGE(""https://docs.google.com/spreadsheets/d/1w5rwWK1o49a35cNtocGL0gxDwhFSTZUQu90BiH9_zqM/edit?usp=sharing"",""RTK!M30"")"),0)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IFERROR(__xludf.DUMMYFUNCTION("IMPORTRANGE(""https://docs.google.com/spreadsheets/d/1ItG2mGa2ceCfYo0BwxsXqNm01IGEUdYcSSLTEv9YCik/edit?usp=sharing"",""เบิกจ่ายกองทุน!CL30"")"),0)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IFERROR(__xludf.DUMMYFUNCTION("IMPORTRANGE(""https://docs.google.com/spreadsheets/d/1ItG2mGa2ceCfYo0BwxsXqNm01IGEUdYcSSLTEv9YCik/edit?usp=sharing"",""เบิกจ่ายกองทุน!CM30"")"),0)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IFERROR(__xludf.DUMMYFUNCTION("IMPORTRANGE(""https://docs.google.com/spreadsheets/d/1ItG2mGa2ceCfYo0BwxsXqNm01IGEUdYcSSLTEv9YCik/edit?usp=sharing"",""เบิกจ่ายกองทุน!CN30"")"),0)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97018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618250</v>
      </c>
      <c r="M413" s="547">
        <f ca="1">M414+M415</f>
        <v>621250</v>
      </c>
      <c r="N413" s="547">
        <f ca="1">N414+N415</f>
        <v>459625.77</v>
      </c>
      <c r="O413" s="547">
        <f ca="1">IF(L413&gt;0,N413*100/L413,0)</f>
        <v>74.343027901334409</v>
      </c>
      <c r="P413" s="547">
        <f ca="1">IF(M413&gt;0,N413*100/M413,0)</f>
        <v>73.98402736418511</v>
      </c>
      <c r="Q413" s="547">
        <f ca="1">Q414+Q415</f>
        <v>67060</v>
      </c>
      <c r="R413" s="547">
        <f ca="1">R414+R415</f>
        <v>67060</v>
      </c>
      <c r="S413" s="547">
        <f ca="1">S414+S415</f>
        <v>44137</v>
      </c>
      <c r="T413" s="547">
        <f ca="1">IF(Q413&gt;0,S413*100/Q413,0)</f>
        <v>65.817178645988662</v>
      </c>
      <c r="U413" s="547">
        <f ca="1">IF(R413&gt;0,S413*100/R413,0)</f>
        <v>65.817178645988662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618250</v>
      </c>
      <c r="M415" s="224">
        <f ca="1">M418+M421</f>
        <v>621250</v>
      </c>
      <c r="N415" s="224">
        <f ca="1">N418+N421</f>
        <v>459625.77</v>
      </c>
      <c r="O415" s="224">
        <f ca="1">IF(L415&gt;0,N415*100/L415,0)</f>
        <v>74.343027901334409</v>
      </c>
      <c r="P415" s="224">
        <f ca="1">IF(M415&gt;0,N415*100/M415,0)</f>
        <v>73.98402736418511</v>
      </c>
      <c r="Q415" s="224">
        <f ca="1">Q418+Q421</f>
        <v>67060</v>
      </c>
      <c r="R415" s="224">
        <f ca="1">R418+R421</f>
        <v>67060</v>
      </c>
      <c r="S415" s="224">
        <f ca="1">S418+S421</f>
        <v>44137</v>
      </c>
      <c r="T415" s="224">
        <f ca="1">IF(Q415&gt;0,S415*100/Q415,0)</f>
        <v>65.817178645988662</v>
      </c>
      <c r="U415" s="224">
        <f ca="1">IF(R415&gt;0,S415*100/R415,0)</f>
        <v>65.817178645988662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618250</v>
      </c>
      <c r="M416" s="224">
        <f ca="1">M417+M418</f>
        <v>621250</v>
      </c>
      <c r="N416" s="224">
        <f ca="1">N417+N418</f>
        <v>459625.77</v>
      </c>
      <c r="O416" s="224">
        <f ca="1">IF(L416&gt;0,N416*100/L416,0)</f>
        <v>74.343027901334409</v>
      </c>
      <c r="P416" s="224">
        <f ca="1">IF(M416&gt;0,N416*100/M416,0)</f>
        <v>73.98402736418511</v>
      </c>
      <c r="Q416" s="224">
        <f ca="1">Q417+Q418</f>
        <v>67060</v>
      </c>
      <c r="R416" s="224">
        <f ca="1">R417+R418</f>
        <v>67060</v>
      </c>
      <c r="S416" s="224">
        <f ca="1">S417+S418</f>
        <v>44137</v>
      </c>
      <c r="T416" s="224">
        <f ca="1">IF(Q416&gt;0,S416*100/Q416,0)</f>
        <v>65.817178645988662</v>
      </c>
      <c r="U416" s="224">
        <f ca="1">IF(R416&gt;0,S416*100/R416,0)</f>
        <v>65.817178645988662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IFERROR(__xludf.DUMMYFUNCTION("IMPORTRANGE(""https://docs.google.com/spreadsheets/d/1-uDff_7J0KD5mKrp0Vvzr7lt3OU09vwQwhkpOPPYv2Y/edit?usp=sharing"",""งบพรบ!IO30"")"),618250)</f>
        <v>618250</v>
      </c>
      <c r="M418" s="224">
        <f ca="1">IFERROR(__xludf.DUMMYFUNCTION("IMPORTRANGE(""https://docs.google.com/spreadsheets/d/1-uDff_7J0KD5mKrp0Vvzr7lt3OU09vwQwhkpOPPYv2Y/edit?usp=sharing"",""งบพรบ!IT30"")"),621250)</f>
        <v>621250</v>
      </c>
      <c r="N418" s="224">
        <f ca="1">IFERROR(__xludf.DUMMYFUNCTION("IMPORTRANGE(""https://docs.google.com/spreadsheets/d/1-uDff_7J0KD5mKrp0Vvzr7lt3OU09vwQwhkpOPPYv2Y/edit?usp=sharing"",""งบพรบ!IV30"")"),459625.77)</f>
        <v>459625.77</v>
      </c>
      <c r="O418" s="224">
        <f ca="1">IF(L418&gt;0,N418*100/L418,0)</f>
        <v>74.343027901334409</v>
      </c>
      <c r="P418" s="224">
        <f ca="1">IF(M418&gt;0,N418*100/M418,0)</f>
        <v>73.98402736418511</v>
      </c>
      <c r="Q418" s="224">
        <f ca="1">IFERROR(__xludf.DUMMYFUNCTION("IMPORTRANGE(""https://docs.google.com/spreadsheets/d/1ItG2mGa2ceCfYo0BwxsXqNm01IGEUdYcSSLTEv9YCik/edit?usp=sharing"",""เบิกจ่ายกองทุน!BZ30"")"),67060)</f>
        <v>67060</v>
      </c>
      <c r="R418" s="224">
        <f ca="1">IFERROR(__xludf.DUMMYFUNCTION("IMPORTRANGE(""https://docs.google.com/spreadsheets/d/1ItG2mGa2ceCfYo0BwxsXqNm01IGEUdYcSSLTEv9YCik/edit?usp=sharing"",""เบิกจ่ายกองทุน!CA30"")"),67060)</f>
        <v>67060</v>
      </c>
      <c r="S418" s="224">
        <f ca="1">IFERROR(__xludf.DUMMYFUNCTION("IMPORTRANGE(""https://docs.google.com/spreadsheets/d/1ItG2mGa2ceCfYo0BwxsXqNm01IGEUdYcSSLTEv9YCik/edit?usp=sharing"",""เบิกจ่ายกองทุน!CB30"")"),44137)</f>
        <v>44137</v>
      </c>
      <c r="T418" s="224">
        <f ca="1">IF(Q418&gt;0,S418*100/Q418,0)</f>
        <v>65.817178645988662</v>
      </c>
      <c r="U418" s="224">
        <f ca="1">IF(R418&gt;0,S418*100/R418,0)</f>
        <v>65.817178645988662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IFERROR(__xludf.DUMMYFUNCTION("IMPORTRANGE(""https://docs.google.com/spreadsheets/d/1-uDff_7J0KD5mKrp0Vvzr7lt3OU09vwQwhkpOPPYv2Y/edit?usp=sharing"",""งบพรบ!IR30"")"),0)</f>
        <v>0</v>
      </c>
      <c r="M421" s="224">
        <f ca="1">IFERROR(__xludf.DUMMYFUNCTION("IMPORTRANGE(""https://docs.google.com/spreadsheets/d/1-uDff_7J0KD5mKrp0Vvzr7lt3OU09vwQwhkpOPPYv2Y/edit?usp=sharing"",""งบพรบ!IU30"")"),0)</f>
        <v>0</v>
      </c>
      <c r="N421" s="224">
        <f ca="1">IFERROR(__xludf.DUMMYFUNCTION("IMPORTRANGE(""https://docs.google.com/spreadsheets/d/1-uDff_7J0KD5mKrp0Vvzr7lt3OU09vwQwhkpOPPYv2Y/edit?usp=sharing"",""งบพรบ!IW30"")"),0)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97018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IFERROR(__xludf.DUMMYFUNCTION("IMPORTRANGE(""https://docs.google.com/spreadsheets/d/1eHaY18a8A9IcSdp1K8H6x8fbOy06t2VsZHhMHf-1x7Y/edit?usp=sharing"",""แผน!HJ30"")"),97018)</f>
        <v>97018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IFERROR(__xludf.DUMMYFUNCTION("IMPORTRANGE(""https://docs.google.com/spreadsheets/d/1eHaY18a8A9IcSdp1K8H6x8fbOy06t2VsZHhMHf-1x7Y/edit?usp=sharing"",""แผน!HK30"")"),6825)</f>
        <v>6825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IFERROR(__xludf.DUMMYFUNCTION("IMPORTRANGE(""https://docs.google.com/spreadsheets/d/1eHaY18a8A9IcSdp1K8H6x8fbOy06t2VsZHhMHf-1x7Y/edit?usp=sharing"",""แผน!HJ30"")"),97018)</f>
        <v>97018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IFERROR(__xludf.DUMMYFUNCTION("IMPORTRANGE(""https://docs.google.com/spreadsheets/d/1eHaY18a8A9IcSdp1K8H6x8fbOy06t2VsZHhMHf-1x7Y/edit?usp=sharing"",""แผน!HK30"")"),6825)</f>
        <v>6825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IFERROR(__xludf.DUMMYFUNCTION("IMPORTRANGE(""https://docs.google.com/spreadsheets/d/1eHaY18a8A9IcSdp1K8H6x8fbOy06t2VsZHhMHf-1x7Y/edit?usp=sharing"",""แผน!HJ30"")"),97018)</f>
        <v>97018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IFERROR(__xludf.DUMMYFUNCTION("IMPORTRANGE(""https://docs.google.com/spreadsheets/d/1eHaY18a8A9IcSdp1K8H6x8fbOy06t2VsZHhMHf-1x7Y/edit?usp=sharing"",""แผน!HK30"")"),6825)</f>
        <v>6825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8766.3799999999992</v>
      </c>
      <c r="J456" s="648">
        <f>J457</f>
        <v>3178</v>
      </c>
      <c r="K456" s="578">
        <f ca="1">IF(I456&gt;0,J456*100/I456,0)</f>
        <v>36.252136001405376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IFERROR(__xludf.DUMMYFUNCTION("IMPORTRANGE(""https://docs.google.com/spreadsheets/d/1eHaY18a8A9IcSdp1K8H6x8fbOy06t2VsZHhMHf-1x7Y/edit?usp=sharing"",""แผน!HL30"")"),8766.38)</f>
        <v>8766.3799999999992</v>
      </c>
      <c r="J457" s="650">
        <f>J459+J467+J473</f>
        <v>3178</v>
      </c>
      <c r="K457" s="547">
        <f ca="1">IF(I457&gt;0,J457*100/I457,0)</f>
        <v>36.252136001405376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IFERROR(__xludf.DUMMYFUNCTION("IMPORTRANGE(""https://docs.google.com/spreadsheets/d/1eHaY18a8A9IcSdp1K8H6x8fbOy06t2VsZHhMHf-1x7Y/edit?usp=sharing"",""แผน!HM30"")"),564)</f>
        <v>564</v>
      </c>
      <c r="J458" s="650">
        <f>J460+J468+J474</f>
        <v>193</v>
      </c>
      <c r="K458" s="547">
        <f ca="1">IF(I458&gt;0,J458*100/I458,0)</f>
        <v>34.219858156028366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2638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164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1075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75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1563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89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96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5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11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85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4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444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24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IFERROR(__xludf.DUMMYFUNCTION("IMPORTRANGE(""https://docs.google.com/spreadsheets/d/1eHaY18a8A9IcSdp1K8H6x8fbOy06t2VsZHhMHf-1x7Y/edit?usp=sharing"",""แผน!HO30"")"),732)</f>
        <v>732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IFERROR(__xludf.DUMMYFUNCTION("IMPORTRANGE(""https://docs.google.com/spreadsheets/d/1eHaY18a8A9IcSdp1K8H6x8fbOy06t2VsZHhMHf-1x7Y/edit?usp=sharing"",""แผน!HN30"")"),42)</f>
        <v>42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60</v>
      </c>
      <c r="J492" s="632">
        <f>J503</f>
        <v>60</v>
      </c>
      <c r="K492" s="631">
        <f ca="1">IF(I492&gt;0,J492*100/I492,0)</f>
        <v>100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x14ac:dyDescent="0.3">
      <c r="A493" s="128"/>
      <c r="B493" s="158"/>
      <c r="C493" s="374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30100</v>
      </c>
      <c r="M493" s="547">
        <f ca="1">M494+M495</f>
        <v>30100</v>
      </c>
      <c r="N493" s="547">
        <f ca="1">N494+N495</f>
        <v>30100</v>
      </c>
      <c r="O493" s="547">
        <f ca="1">IF(L493&gt;0,N493*100/L493,0)</f>
        <v>100</v>
      </c>
      <c r="P493" s="547">
        <f ca="1">IF(M493&gt;0,N493*100/M493,0)</f>
        <v>100</v>
      </c>
      <c r="Q493" s="547">
        <f ca="1">Q494+Q495</f>
        <v>741945</v>
      </c>
      <c r="R493" s="547">
        <f ca="1">R494+R495</f>
        <v>749645</v>
      </c>
      <c r="S493" s="547">
        <f ca="1">S494+S495</f>
        <v>422808</v>
      </c>
      <c r="T493" s="547">
        <f ca="1">IF(Q493&gt;0,S493*100/Q493,0)</f>
        <v>56.986434304429572</v>
      </c>
      <c r="U493" s="547">
        <f ca="1">IF(R493&gt;0,S493*100/R493,0)</f>
        <v>56.401096519018999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30100</v>
      </c>
      <c r="M495" s="224">
        <f ca="1">M498+M501</f>
        <v>30100</v>
      </c>
      <c r="N495" s="224">
        <f ca="1">N498+N501</f>
        <v>30100</v>
      </c>
      <c r="O495" s="224">
        <f ca="1">IF(L495&gt;0,N495*100/L495,0)</f>
        <v>100</v>
      </c>
      <c r="P495" s="224">
        <f ca="1">IF(M495&gt;0,N495*100/M495,0)</f>
        <v>100</v>
      </c>
      <c r="Q495" s="224">
        <f ca="1">Q498+Q501</f>
        <v>741945</v>
      </c>
      <c r="R495" s="224">
        <f ca="1">R498+R501</f>
        <v>749645</v>
      </c>
      <c r="S495" s="224">
        <f ca="1">S498+S501</f>
        <v>422808</v>
      </c>
      <c r="T495" s="224">
        <f ca="1">IF(Q495&gt;0,S495*100/Q495,0)</f>
        <v>56.986434304429572</v>
      </c>
      <c r="U495" s="224">
        <f ca="1">IF(R495&gt;0,S495*100/R495,0)</f>
        <v>56.401096519018999</v>
      </c>
    </row>
    <row r="496" spans="1:21" ht="18.75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30100</v>
      </c>
      <c r="M496" s="224">
        <f ca="1">M497+M498</f>
        <v>30100</v>
      </c>
      <c r="N496" s="224">
        <f ca="1">N497+N498</f>
        <v>30100</v>
      </c>
      <c r="O496" s="224">
        <f ca="1">IF(L496&gt;0,N496*100/L496,0)</f>
        <v>100</v>
      </c>
      <c r="P496" s="224">
        <f ca="1">IF(M496&gt;0,N496*100/M496,0)</f>
        <v>100</v>
      </c>
      <c r="Q496" s="224">
        <f ca="1">Q497+Q498</f>
        <v>741945</v>
      </c>
      <c r="R496" s="224">
        <f ca="1">R497+R498</f>
        <v>749645</v>
      </c>
      <c r="S496" s="224">
        <f ca="1">S497+S498</f>
        <v>422808</v>
      </c>
      <c r="T496" s="224">
        <f ca="1">IF(Q496&gt;0,S496*100/Q496,0)</f>
        <v>56.986434304429572</v>
      </c>
      <c r="U496" s="224">
        <f ca="1">IF(R496&gt;0,S496*100/R496,0)</f>
        <v>56.401096519018999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IFERROR(__xludf.DUMMYFUNCTION("IMPORTRANGE(""https://docs.google.com/spreadsheets/d/1-uDff_7J0KD5mKrp0Vvzr7lt3OU09vwQwhkpOPPYv2Y/edit?usp=sharing"",""งบพรบ!HU30"")"),30100)</f>
        <v>30100</v>
      </c>
      <c r="M498" s="224">
        <f ca="1">IFERROR(__xludf.DUMMYFUNCTION("IMPORTRANGE(""https://docs.google.com/spreadsheets/d/1-uDff_7J0KD5mKrp0Vvzr7lt3OU09vwQwhkpOPPYv2Y/edit?usp=sharing"",""งบพรบ!HZ30"")"),30100)</f>
        <v>30100</v>
      </c>
      <c r="N498" s="224">
        <f ca="1">IFERROR(__xludf.DUMMYFUNCTION("IMPORTRANGE(""https://docs.google.com/spreadsheets/d/1-uDff_7J0KD5mKrp0Vvzr7lt3OU09vwQwhkpOPPYv2Y/edit?usp=sharing"",""งบพรบ!IB30"")"),30100)</f>
        <v>30100</v>
      </c>
      <c r="O498" s="224">
        <f ca="1">IF(L498&gt;0,N498*100/L498,0)</f>
        <v>100</v>
      </c>
      <c r="P498" s="224">
        <f ca="1">IF(M498&gt;0,N498*100/M498,0)</f>
        <v>100</v>
      </c>
      <c r="Q498" s="224">
        <f ca="1">IFERROR(__xludf.DUMMYFUNCTION("IMPORTRANGE(""https://docs.google.com/spreadsheets/d/1ItG2mGa2ceCfYo0BwxsXqNm01IGEUdYcSSLTEv9YCik/edit?usp=sharing"",""เบิกจ่ายกองทุน!AD30"")"),741945)</f>
        <v>741945</v>
      </c>
      <c r="R498" s="224">
        <f ca="1">IFERROR(__xludf.DUMMYFUNCTION("IMPORTRANGE(""https://docs.google.com/spreadsheets/d/1ItG2mGa2ceCfYo0BwxsXqNm01IGEUdYcSSLTEv9YCik/edit?usp=sharing"",""เบิกจ่ายกองทุน!AE30"")"),749645)</f>
        <v>749645</v>
      </c>
      <c r="S498" s="224">
        <f ca="1">IFERROR(__xludf.DUMMYFUNCTION("IMPORTRANGE(""https://docs.google.com/spreadsheets/d/1ItG2mGa2ceCfYo0BwxsXqNm01IGEUdYcSSLTEv9YCik/edit?usp=sharing"",""เบิกจ่ายกองทุน!AF30"")"),422808)</f>
        <v>422808</v>
      </c>
      <c r="T498" s="224">
        <f ca="1">IF(Q498&gt;0,S498*100/Q498,0)</f>
        <v>56.986434304429572</v>
      </c>
      <c r="U498" s="224">
        <f ca="1">IF(R498&gt;0,S498*100/R498,0)</f>
        <v>56.401096519018999</v>
      </c>
    </row>
    <row r="499" spans="1:21" ht="18.75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IFERROR(__xludf.DUMMYFUNCTION("IMPORTRANGE(""https://docs.google.com/spreadsheets/d/1-uDff_7J0KD5mKrp0Vvzr7lt3OU09vwQwhkpOPPYv2Y/edit?usp=sharing"",""งบพรบ!HX30"")"),0)</f>
        <v>0</v>
      </c>
      <c r="M501" s="224">
        <f ca="1">IFERROR(__xludf.DUMMYFUNCTION("IMPORTRANGE(""https://docs.google.com/spreadsheets/d/1-uDff_7J0KD5mKrp0Vvzr7lt3OU09vwQwhkpOPPYv2Y/edit?usp=sharing"",""งบพรบ!IA30"")"),0)</f>
        <v>0</v>
      </c>
      <c r="N501" s="224">
        <f ca="1">IFERROR(__xludf.DUMMYFUNCTION("IMPORTRANGE(""https://docs.google.com/spreadsheets/d/1-uDff_7J0KD5mKrp0Vvzr7lt3OU09vwQwhkpOPPYv2Y/edit?usp=sharing"",""งบพรบ!IC30"")"),0)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374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IFERROR(__xludf.DUMMYFUNCTION("IMPORTRANGE(""https://docs.google.com/spreadsheets/d/1eHaY18a8A9IcSdp1K8H6x8fbOy06t2VsZHhMHf-1x7Y/edit?usp=sharing"",""แผน!GX30"")"),60)</f>
        <v>60</v>
      </c>
      <c r="J503" s="338">
        <f>J505</f>
        <v>60</v>
      </c>
      <c r="K503" s="547">
        <f ca="1">IF(I503&gt;0,J503*100/I503,0)</f>
        <v>100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IFERROR(__xludf.DUMMYFUNCTION("IMPORTRANGE(""https://docs.google.com/spreadsheets/d/1eHaY18a8A9IcSdp1K8H6x8fbOy06t2VsZHhMHf-1x7Y/edit?usp=sharing"",""แผน!GY30"")"),60)</f>
        <v>60</v>
      </c>
      <c r="J504" s="380">
        <v>60</v>
      </c>
      <c r="K504" s="224">
        <f ca="1">IF(I504&gt;0,J504*100/I504,0)</f>
        <v>100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IFERROR(__xludf.DUMMYFUNCTION("IMPORTRANGE(""https://docs.google.com/spreadsheets/d/1eHaY18a8A9IcSdp1K8H6x8fbOy06t2VsZHhMHf-1x7Y/edit?usp=sharing"",""แผน!GZ30"")"),60)</f>
        <v>60</v>
      </c>
      <c r="J505" s="380">
        <v>60</v>
      </c>
      <c r="K505" s="224">
        <f ca="1">IF(I505&gt;0,J505*100/I505,0)</f>
        <v>100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IFERROR(__xludf.DUMMYFUNCTION("IMPORTRANGE(""https://docs.google.com/spreadsheets/d/1eHaY18a8A9IcSdp1K8H6x8fbOy06t2VsZHhMHf-1x7Y/edit?usp=sharing"",""แผน!HA30"")"),60)</f>
        <v>60</v>
      </c>
      <c r="J506" s="380">
        <v>60</v>
      </c>
      <c r="K506" s="224">
        <f ca="1">IF(I506&gt;0,J506*100/I506,0)</f>
        <v>100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IFERROR(__xludf.DUMMYFUNCTION("IMPORTRANGE(""https://docs.google.com/spreadsheets/d/1eHaY18a8A9IcSdp1K8H6x8fbOy06t2VsZHhMHf-1x7Y/edit?usp=sharing"",""แผน!HB30"")"),10)</f>
        <v>10</v>
      </c>
      <c r="J507" s="380">
        <v>10</v>
      </c>
      <c r="K507" s="224">
        <f ca="1">IF(I507&gt;0,J507*100/I507,0)</f>
        <v>100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IFERROR(__xludf.DUMMYFUNCTION("IMPORTRANGE(""https://docs.google.com/spreadsheets/d/1eHaY18a8A9IcSdp1K8H6x8fbOy06t2VsZHhMHf-1x7Y/edit?usp=sharing"",""แผน!HC30"")"),0)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IFERROR(__xludf.DUMMYFUNCTION("IMPORTRANGE(""https://docs.google.com/spreadsheets/d/1-uDff_7J0KD5mKrp0Vvzr7lt3OU09vwQwhkpOPPYv2Y/edit?usp=sharing"",""งบพรบ!FM30"")"),0)</f>
        <v>0</v>
      </c>
      <c r="M518" s="224">
        <f ca="1">IFERROR(__xludf.DUMMYFUNCTION("IMPORTRANGE(""https://docs.google.com/spreadsheets/d/1-uDff_7J0KD5mKrp0Vvzr7lt3OU09vwQwhkpOPPYv2Y/edit?usp=sharing"",""งบพรบ!FR30"")"),0)</f>
        <v>0</v>
      </c>
      <c r="N518" s="224">
        <f ca="1">IFERROR(__xludf.DUMMYFUNCTION("IMPORTRANGE(""https://docs.google.com/spreadsheets/d/1-uDff_7J0KD5mKrp0Vvzr7lt3OU09vwQwhkpOPPYv2Y/edit?usp=sharing"",""งบพรบ!FT30"")"),0)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IFERROR(__xludf.DUMMYFUNCTION("IMPORTRANGE(""https://docs.google.com/spreadsheets/d/1-uDff_7J0KD5mKrp0Vvzr7lt3OU09vwQwhkpOPPYv2Y/edit?usp=sharing"",""งบพรบ!FP30"")"),0)</f>
        <v>0</v>
      </c>
      <c r="M521" s="224">
        <f ca="1">IFERROR(__xludf.DUMMYFUNCTION("IMPORTRANGE(""https://docs.google.com/spreadsheets/d/1-uDff_7J0KD5mKrp0Vvzr7lt3OU09vwQwhkpOPPYv2Y/edit?usp=sharing"",""งบพรบ!FS30"")"),0)</f>
        <v>0</v>
      </c>
      <c r="N521" s="224">
        <f ca="1">IFERROR(__xludf.DUMMYFUNCTION("IMPORTRANGE(""https://docs.google.com/spreadsheets/d/1-uDff_7J0KD5mKrp0Vvzr7lt3OU09vwQwhkpOPPYv2Y/edit?usp=sharing"",""งบพรบ!FU30"")"),0)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IFERROR(__xludf.DUMMYFUNCTION("IMPORTRANGE(""https://docs.google.com/spreadsheets/d/1-uDff_7J0KD5mKrp0Vvzr7lt3OU09vwQwhkpOPPYv2Y/edit?usp=sharing"",""งบพรบ!FW30"")"),0)</f>
        <v>0</v>
      </c>
      <c r="M539" s="224">
        <f ca="1">IFERROR(__xludf.DUMMYFUNCTION("IMPORTRANGE(""https://docs.google.com/spreadsheets/d/1-uDff_7J0KD5mKrp0Vvzr7lt3OU09vwQwhkpOPPYv2Y/edit?usp=sharing"",""งบพรบ!GB30"")"),0)</f>
        <v>0</v>
      </c>
      <c r="N539" s="224">
        <f ca="1">IFERROR(__xludf.DUMMYFUNCTION("IMPORTRANGE(""https://docs.google.com/spreadsheets/d/1-uDff_7J0KD5mKrp0Vvzr7lt3OU09vwQwhkpOPPYv2Y/edit?usp=sharing"",""งบพรบ!GD30"")"),0)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IFERROR(__xludf.DUMMYFUNCTION("IMPORTRANGE(""https://docs.google.com/spreadsheets/d/1-uDff_7J0KD5mKrp0Vvzr7lt3OU09vwQwhkpOPPYv2Y/edit?usp=sharing"",""งบพรบ!FZ30"")"),0)</f>
        <v>0</v>
      </c>
      <c r="M542" s="224">
        <f ca="1">IFERROR(__xludf.DUMMYFUNCTION("IMPORTRANGE(""https://docs.google.com/spreadsheets/d/1-uDff_7J0KD5mKrp0Vvzr7lt3OU09vwQwhkpOPPYv2Y/edit?usp=sharing"",""งบพรบ!GC30"")"),0)</f>
        <v>0</v>
      </c>
      <c r="N542" s="224">
        <f ca="1">IFERROR(__xludf.DUMMYFUNCTION("IMPORTRANGE(""https://docs.google.com/spreadsheets/d/1-uDff_7J0KD5mKrp0Vvzr7lt3OU09vwQwhkpOPPYv2Y/edit?usp=sharing"",""งบพรบ!GE30"")"),0)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IFERROR(__xludf.DUMMYFUNCTION("IMPORTRANGE(""https://docs.google.com/spreadsheets/d/1-uDff_7J0KD5mKrp0Vvzr7lt3OU09vwQwhkpOPPYv2Y/edit?usp=sharing"",""งบพรบ!GG30"")"),0)</f>
        <v>0</v>
      </c>
      <c r="M560" s="224">
        <f ca="1">IFERROR(__xludf.DUMMYFUNCTION("IMPORTRANGE(""https://docs.google.com/spreadsheets/d/1-uDff_7J0KD5mKrp0Vvzr7lt3OU09vwQwhkpOPPYv2Y/edit?usp=sharing"",""งบพรบ!GL30"")"),0)</f>
        <v>0</v>
      </c>
      <c r="N560" s="224">
        <f ca="1">IFERROR(__xludf.DUMMYFUNCTION("IMPORTRANGE(""https://docs.google.com/spreadsheets/d/1-uDff_7J0KD5mKrp0Vvzr7lt3OU09vwQwhkpOPPYv2Y/edit?usp=sharing"",""งบพรบ!GN30"")"),0)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IFERROR(__xludf.DUMMYFUNCTION("IMPORTRANGE(""https://docs.google.com/spreadsheets/d/1-uDff_7J0KD5mKrp0Vvzr7lt3OU09vwQwhkpOPPYv2Y/edit?usp=sharing"",""งบพรบ!GJ30"")"),0)</f>
        <v>0</v>
      </c>
      <c r="M563" s="224">
        <f ca="1">IFERROR(__xludf.DUMMYFUNCTION("IMPORTRANGE(""https://docs.google.com/spreadsheets/d/1-uDff_7J0KD5mKrp0Vvzr7lt3OU09vwQwhkpOPPYv2Y/edit?usp=sharing"",""งบพรบ!GM30"")"),0)</f>
        <v>0</v>
      </c>
      <c r="N563" s="224">
        <f ca="1">IFERROR(__xludf.DUMMYFUNCTION("IMPORTRANGE(""https://docs.google.com/spreadsheets/d/1-uDff_7J0KD5mKrp0Vvzr7lt3OU09vwQwhkpOPPYv2Y/edit?usp=sharing"",""งบพรบ!GO30"")"),0)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IFERROR(__xludf.DUMMYFUNCTION("IMPORTRANGE(""https://docs.google.com/spreadsheets/d/1-uDff_7J0KD5mKrp0Vvzr7lt3OU09vwQwhkpOPPYv2Y/edit?usp=sharing"",""งบพรบ!GQ30"")"),0)</f>
        <v>0</v>
      </c>
      <c r="M581" s="224">
        <f ca="1">IFERROR(__xludf.DUMMYFUNCTION("IMPORTRANGE(""https://docs.google.com/spreadsheets/d/1-uDff_7J0KD5mKrp0Vvzr7lt3OU09vwQwhkpOPPYv2Y/edit?usp=sharing"",""งบพรบ!GV30"")"),0)</f>
        <v>0</v>
      </c>
      <c r="N581" s="224">
        <f ca="1">IFERROR(__xludf.DUMMYFUNCTION("IMPORTRANGE(""https://docs.google.com/spreadsheets/d/1-uDff_7J0KD5mKrp0Vvzr7lt3OU09vwQwhkpOPPYv2Y/edit?usp=sharing"",""งบพรบ!GX30"")"),0)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IFERROR(__xludf.DUMMYFUNCTION("IMPORTRANGE(""https://docs.google.com/spreadsheets/d/1-uDff_7J0KD5mKrp0Vvzr7lt3OU09vwQwhkpOPPYv2Y/edit?usp=sharing"",""งบพรบ!GT30"")"),0)</f>
        <v>0</v>
      </c>
      <c r="M584" s="224">
        <f ca="1">IFERROR(__xludf.DUMMYFUNCTION("IMPORTRANGE(""https://docs.google.com/spreadsheets/d/1-uDff_7J0KD5mKrp0Vvzr7lt3OU09vwQwhkpOPPYv2Y/edit?usp=sharing"",""งบพรบ!GW30"")"),0)</f>
        <v>0</v>
      </c>
      <c r="N584" s="224">
        <f ca="1">IFERROR(__xludf.DUMMYFUNCTION("IMPORTRANGE(""https://docs.google.com/spreadsheets/d/1-uDff_7J0KD5mKrp0Vvzr7lt3OU09vwQwhkpOPPYv2Y/edit?usp=sharing"",""งบพรบ!GY30"")"),0)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6343</v>
      </c>
      <c r="M599" s="715">
        <f ca="1">M600+M601</f>
        <v>6343</v>
      </c>
      <c r="N599" s="715">
        <f ca="1">N600+N601</f>
        <v>6343</v>
      </c>
      <c r="O599" s="715">
        <f ca="1">IF(L599&gt;0,N599*100/L599,0)</f>
        <v>100</v>
      </c>
      <c r="P599" s="715">
        <f ca="1">IF(M599&gt;0,N599*100/M599,0)</f>
        <v>100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6343</v>
      </c>
      <c r="M601" s="558">
        <f ca="1">M604+M607</f>
        <v>6343</v>
      </c>
      <c r="N601" s="558">
        <f ca="1">N604+N607</f>
        <v>6343</v>
      </c>
      <c r="O601" s="558">
        <f ca="1">IF(L601&gt;0,N601*100/L601,0)</f>
        <v>100</v>
      </c>
      <c r="P601" s="558">
        <f ca="1">IF(M601&gt;0,N601*100/M601,0)</f>
        <v>100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6343</v>
      </c>
      <c r="M602" s="558">
        <f ca="1">M603+M604</f>
        <v>6343</v>
      </c>
      <c r="N602" s="558">
        <f ca="1">N603+N604</f>
        <v>6343</v>
      </c>
      <c r="O602" s="558">
        <f ca="1">IF(L602&gt;0,N602*100/L602,0)</f>
        <v>100</v>
      </c>
      <c r="P602" s="558">
        <f ca="1">IF(M602&gt;0,N602*100/M602,0)</f>
        <v>100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IFERROR(__xludf.DUMMYFUNCTION("IMPORTRANGE(""https://docs.google.com/spreadsheets/d/1-uDff_7J0KD5mKrp0Vvzr7lt3OU09vwQwhkpOPPYv2Y/edit?usp=sharing"",""งบพรบ!HK30"")"),6343)</f>
        <v>6343</v>
      </c>
      <c r="M604" s="558">
        <f ca="1">IFERROR(__xludf.DUMMYFUNCTION("IMPORTRANGE(""https://docs.google.com/spreadsheets/d/1-uDff_7J0KD5mKrp0Vvzr7lt3OU09vwQwhkpOPPYv2Y/edit?usp=sharing"",""งบพรบ!HP30"")"),6343)</f>
        <v>6343</v>
      </c>
      <c r="N604" s="558">
        <f ca="1">IFERROR(__xludf.DUMMYFUNCTION("IMPORTRANGE(""https://docs.google.com/spreadsheets/d/1-uDff_7J0KD5mKrp0Vvzr7lt3OU09vwQwhkpOPPYv2Y/edit?usp=sharing"",""งบพรบ!HR30"")"),6343)</f>
        <v>6343</v>
      </c>
      <c r="O604" s="558">
        <f ca="1">IF(L604&gt;0,N604*100/L604,0)</f>
        <v>100</v>
      </c>
      <c r="P604" s="558">
        <f ca="1">IF(M604&gt;0,N604*100/M604,0)</f>
        <v>100</v>
      </c>
      <c r="Q604" s="558">
        <f ca="1">IFERROR(__xludf.DUMMYFUNCTION("IMPORTRANGE(""https://docs.google.com/spreadsheets/d/1ItG2mGa2ceCfYo0BwxsXqNm01IGEUdYcSSLTEv9YCik/edit?usp=sharing"",""เบิกจ่ายกองทุน!AV30"")"),0)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IFERROR(__xludf.DUMMYFUNCTION("IMPORTRANGE(""https://docs.google.com/spreadsheets/d/1ItG2mGa2ceCfYo0BwxsXqNm01IGEUdYcSSLTEv9YCik/edit?usp=sharing"",""เบิกจ่ายกองทุน!AW30"")"),0)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IFERROR(__xludf.DUMMYFUNCTION("IMPORTRANGE(""https://docs.google.com/spreadsheets/d/1ItG2mGa2ceCfYo0BwxsXqNm01IGEUdYcSSLTEv9YCik/edit?usp=sharing"",""เบิกจ่ายกองทุน!AX30"")"),0)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IFERROR(__xludf.DUMMYFUNCTION("IMPORTRANGE(""https://docs.google.com/spreadsheets/d/1-uDff_7J0KD5mKrp0Vvzr7lt3OU09vwQwhkpOPPYv2Y/edit?usp=sharing"",""งบพรบ!HN30"")"),0)</f>
        <v>0</v>
      </c>
      <c r="M607" s="558">
        <f ca="1">IFERROR(__xludf.DUMMYFUNCTION("IMPORTRANGE(""https://docs.google.com/spreadsheets/d/1-uDff_7J0KD5mKrp0Vvzr7lt3OU09vwQwhkpOPPYv2Y/edit?usp=sharing"",""งบพรบ!HQ30"")"),0)</f>
        <v>0</v>
      </c>
      <c r="N607" s="558">
        <f ca="1">IFERROR(__xludf.DUMMYFUNCTION("IMPORTRANGE(""https://docs.google.com/spreadsheets/d/1-uDff_7J0KD5mKrp0Vvzr7lt3OU09vwQwhkpOPPYv2Y/edit?usp=sharing"",""งบพรบ!HS30"")"),0)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IFERROR(__xludf.DUMMYFUNCTION("IMPORTRANGE(""https://docs.google.com/spreadsheets/d/1ItG2mGa2ceCfYo0BwxsXqNm01IGEUdYcSSLTEv9YCik/edit?usp=sharing"",""เบิกจ่ายกองทุน!AY30"")"),0)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IFERROR(__xludf.DUMMYFUNCTION("IMPORTRANGE(""https://docs.google.com/spreadsheets/d/1ItG2mGa2ceCfYo0BwxsXqNm01IGEUdYcSSLTEv9YCik/edit?usp=sharing"",""เบิกจ่ายกองทุน!AZ30"")"),0)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IFERROR(__xludf.DUMMYFUNCTION("IMPORTRANGE(""https://docs.google.com/spreadsheets/d/1ItG2mGa2ceCfYo0BwxsXqNm01IGEUdYcSSLTEv9YCik/edit?usp=sharing"",""เบิกจ่ายกองทุน!BA30"")"),0)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1200</v>
      </c>
      <c r="R616" s="547">
        <f ca="1">R617+R618</f>
        <v>1200</v>
      </c>
      <c r="S616" s="547">
        <f ca="1">S617+S618</f>
        <v>1200</v>
      </c>
      <c r="T616" s="547">
        <f ca="1">IF(Q616&gt;0,S616*100/Q616,0)</f>
        <v>100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1200</v>
      </c>
      <c r="R618" s="224">
        <f ca="1">R621+R624</f>
        <v>1200</v>
      </c>
      <c r="S618" s="224">
        <f ca="1">S621+S624</f>
        <v>1200</v>
      </c>
      <c r="T618" s="224">
        <f ca="1">IF(Q618&gt;0,S618*100/Q618,0)</f>
        <v>100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1200</v>
      </c>
      <c r="R619" s="224">
        <f ca="1">R620+R621</f>
        <v>1200</v>
      </c>
      <c r="S619" s="224">
        <f ca="1">S620+S621</f>
        <v>1200</v>
      </c>
      <c r="T619" s="224">
        <f ca="1">IF(Q619&gt;0,S619*100/Q619,0)</f>
        <v>100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IFERROR(__xludf.DUMMYFUNCTION("IMPORTRANGE(""https://docs.google.com/spreadsheets/d/1ItG2mGa2ceCfYo0BwxsXqNm01IGEUdYcSSLTEv9YCik/edit?usp=sharing"",""เบิกจ่ายกองทุน!F30"")"),1200)</f>
        <v>1200</v>
      </c>
      <c r="R621" s="224">
        <f ca="1">IFERROR(__xludf.DUMMYFUNCTION("IMPORTRANGE(""https://docs.google.com/spreadsheets/d/1ItG2mGa2ceCfYo0BwxsXqNm01IGEUdYcSSLTEv9YCik/edit?usp=sharing"",""เบิกจ่ายกองทุน!G30"")"),1200)</f>
        <v>1200</v>
      </c>
      <c r="S621" s="224">
        <f ca="1">IFERROR(__xludf.DUMMYFUNCTION("IMPORTRANGE(""https://docs.google.com/spreadsheets/d/1ItG2mGa2ceCfYo0BwxsXqNm01IGEUdYcSSLTEv9YCik/edit?usp=sharing"",""เบิกจ่ายกองทุน!H30"")"),1200)</f>
        <v>1200</v>
      </c>
      <c r="T621" s="224">
        <f ca="1">IF(Q621&gt;0,S621*100/Q621,0)</f>
        <v>100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IFERROR(__xludf.DUMMYFUNCTION("IMPORTRANGE(""https://docs.google.com/spreadsheets/d/1eHaY18a8A9IcSdp1K8H6x8fbOy06t2VsZHhMHf-1x7Y/edit?usp=sharing"",""แผน!ID30"")"),0)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IFERROR(__xludf.DUMMYFUNCTION("IMPORTRANGE(""https://docs.google.com/spreadsheets/d/1eHaY18a8A9IcSdp1K8H6x8fbOy06t2VsZHhMHf-1x7Y/edit?usp=sharing"",""แผน!IC30"")"),0)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IFERROR(__xludf.DUMMYFUNCTION("IMPORTRANGE(""https://docs.google.com/spreadsheets/d/1eHaY18a8A9IcSdp1K8H6x8fbOy06t2VsZHhMHf-1x7Y/edit?usp=sharing"",""แผน!IC30"")"),0)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IFERROR(__xludf.DUMMYFUNCTION("IMPORTRANGE(""https://docs.google.com/spreadsheets/d/1eHaY18a8A9IcSdp1K8H6x8fbOy06t2VsZHhMHf-1x7Y/edit?usp=sharing"",""แผน!IE30"")"),0)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34240</v>
      </c>
      <c r="R642" s="547">
        <f ca="1">R643+R644</f>
        <v>34240</v>
      </c>
      <c r="S642" s="547">
        <f ca="1">S643+S644</f>
        <v>19650</v>
      </c>
      <c r="T642" s="547">
        <f ca="1">IF(Q642&gt;0,S642*100/Q642,0)</f>
        <v>57.389018691588788</v>
      </c>
      <c r="U642" s="547">
        <f ca="1">IF(R642&gt;0,S642*100/R642,0)</f>
        <v>57.389018691588788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34240</v>
      </c>
      <c r="R644" s="224">
        <f ca="1">R647+R650</f>
        <v>34240</v>
      </c>
      <c r="S644" s="224">
        <f ca="1">S647+S650</f>
        <v>19650</v>
      </c>
      <c r="T644" s="224">
        <f ca="1">IF(Q644&gt;0,S644*100/Q644,0)</f>
        <v>57.389018691588788</v>
      </c>
      <c r="U644" s="224">
        <f ca="1">IF(R644&gt;0,S644*100/R644,0)</f>
        <v>57.389018691588788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34240</v>
      </c>
      <c r="R645" s="224">
        <f ca="1">R646+R647</f>
        <v>34240</v>
      </c>
      <c r="S645" s="224">
        <f ca="1">S646+S647</f>
        <v>19650</v>
      </c>
      <c r="T645" s="224">
        <f ca="1">IF(Q645&gt;0,S645*100/Q645,0)</f>
        <v>57.389018691588788</v>
      </c>
      <c r="U645" s="224">
        <f ca="1">IF(R645&gt;0,S645*100/R645,0)</f>
        <v>57.389018691588788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7" s="224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7" s="224">
        <f ca="1">IFERROR(__xludf.DUMMYFUNCTION("IMPORTRANGE(""https://docs.google.com/spreadsheets/d/1ItG2mGa2ceCfYo0BwxsXqNm01IGEUdYcSSLTEv9YCik/edit?usp=sharing"",""เบิกจ่ายกองทุน!K30"")"),19650)</f>
        <v>19650</v>
      </c>
      <c r="T647" s="224">
        <f ca="1">IF(Q647&gt;0,S647*100/Q647,0)</f>
        <v>57.389018691588788</v>
      </c>
      <c r="U647" s="224">
        <f ca="1">IF(R647&gt;0,S647*100/R647,0)</f>
        <v>57.389018691588788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IFERROR(__xludf.DUMMYFUNCTION("IMPORTRANGE(""https://docs.google.com/spreadsheets/d/1eHaY18a8A9IcSdp1K8H6x8fbOy06t2VsZHhMHf-1x7Y/edit?usp=sharing"",""แผน!IF30"")"),0)</f>
        <v>0</v>
      </c>
      <c r="J652" s="184">
        <f ca="1">IFERROR(__xludf.DUMMYFUNCTION("IMPORTRANGE(""https://docs.google.com/spreadsheets/d/1tdoBKaGub7dwA3U6UFTqxio9LNnvDCQjHKmttSEBsFQ/edit?usp=sharing"",""จัดที่ดิน!AU30"")"),153.71)</f>
        <v>153.71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IFERROR(__xludf.DUMMYFUNCTION("IMPORTRANGE(""https://docs.google.com/spreadsheets/d/1eHaY18a8A9IcSdp1K8H6x8fbOy06t2VsZHhMHf-1x7Y/edit?usp=sharing"",""แผน!IG30"")"),0)</f>
        <v>0</v>
      </c>
      <c r="J653" s="184">
        <f ca="1">IFERROR(__xludf.DUMMYFUNCTION("IMPORTRANGE(""https://docs.google.com/spreadsheets/d/1tdoBKaGub7dwA3U6UFTqxio9LNnvDCQjHKmttSEBsFQ/edit?usp=sharing"",""จัดที่ดิน!AW30"")"),0)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IFERROR(__xludf.DUMMYFUNCTION("IMPORTRANGE(""https://docs.google.com/spreadsheets/d/1eHaY18a8A9IcSdp1K8H6x8fbOy06t2VsZHhMHf-1x7Y/edit?usp=sharing"",""แผน!IH30"")"),60)</f>
        <v>60</v>
      </c>
      <c r="J654" s="338">
        <f>J657+J660</f>
        <v>68</v>
      </c>
      <c r="K654" s="547">
        <f ca="1">IF(I654&gt;0,J654*100/I654,0)</f>
        <v>113.33333333333333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2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2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IFERROR(__xludf.DUMMYFUNCTION("IMPORTRANGE(""https://docs.google.com/spreadsheets/d/1eHaY18a8A9IcSdp1K8H6x8fbOy06t2VsZHhMHf-1x7Y/edit?usp=sharing"",""แผน!II30"")"),45)</f>
        <v>45</v>
      </c>
      <c r="J657" s="380">
        <v>39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2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2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IFERROR(__xludf.DUMMYFUNCTION("IMPORTRANGE(""https://docs.google.com/spreadsheets/d/1eHaY18a8A9IcSdp1K8H6x8fbOy06t2VsZHhMHf-1x7Y/edit?usp=sharing"",""แผน!IJ30"")"),15)</f>
        <v>15</v>
      </c>
      <c r="J660" s="380">
        <v>29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IFERROR(__xludf.DUMMYFUNCTION("IMPORTRANGE(""https://docs.google.com/spreadsheets/d/1eHaY18a8A9IcSdp1K8H6x8fbOy06t2VsZHhMHf-1x7Y/edit?usp=sharing"",""แผน!IK30"")"),102)</f>
        <v>102</v>
      </c>
      <c r="J661" s="338">
        <f>J667+J670</f>
        <v>153</v>
      </c>
      <c r="K661" s="547">
        <f ca="1">IF(I661&gt;0,J661*100/I661,0)</f>
        <v>150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9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153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13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27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153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IFERROR(__xludf.DUMMYFUNCTION("IMPORTRANGE(""https://docs.google.com/spreadsheets/d/1tdoBKaGub7dwA3U6UFTqxio9LNnvDCQjHKmttSEBsFQ/edit?usp=sharing"",""จัดที่ดิน!AY30"")"),14)</f>
        <v>14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IFERROR(__xludf.DUMMYFUNCTION("IMPORTRANGE(""https://docs.google.com/spreadsheets/d/1tdoBKaGub7dwA3U6UFTqxio9LNnvDCQjHKmttSEBsFQ/edit?usp=sharing"",""จัดที่ดิน!AZ30"")"),14)</f>
        <v>14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IFERROR(__xludf.DUMMYFUNCTION("IMPORTRANGE(""https://docs.google.com/spreadsheets/d/1eHaY18a8A9IcSdp1K8H6x8fbOy06t2VsZHhMHf-1x7Y/edit?usp=sharing"",""แผน!IL30"")"),225)</f>
        <v>225</v>
      </c>
      <c r="J673" s="184">
        <f ca="1">IFERROR(__xludf.DUMMYFUNCTION("IMPORTRANGE(""https://docs.google.com/spreadsheets/d/1tdoBKaGub7dwA3U6UFTqxio9LNnvDCQjHKmttSEBsFQ/edit?usp=sharing"",""จัดที่ดิน!BA30"")"),227.35)</f>
        <v>227.35</v>
      </c>
      <c r="K673" s="224">
        <f ca="1">IF(I673&gt;0,J673*100/I673,0)</f>
        <v>101.04444444444445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IFERROR(__xludf.DUMMYFUNCTION("IMPORTRANGE(""https://docs.google.com/spreadsheets/d/1eHaY18a8A9IcSdp1K8H6x8fbOy06t2VsZHhMHf-1x7Y/edit?usp=sharing"",""แผน!IM30"")"),13)</f>
        <v>13</v>
      </c>
      <c r="J674" s="338">
        <f ca="1">J676+J679</f>
        <v>8</v>
      </c>
      <c r="K674" s="547">
        <f ca="1">IF(I674&gt;0,J674*100/I674,0)</f>
        <v>61.53846153846154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IFERROR(__xludf.DUMMYFUNCTION("IMPORTRANGE(""https://docs.google.com/spreadsheets/d/1eHaY18a8A9IcSdp1K8H6x8fbOy06t2VsZHhMHf-1x7Y/edit?usp=sharing"",""แผน!IN30"")"),155)</f>
        <v>155</v>
      </c>
      <c r="J675" s="338">
        <f ca="1">J678+J681</f>
        <v>177.92</v>
      </c>
      <c r="K675" s="547">
        <f ca="1">IF(I675&gt;0,J675*100/I675,0)</f>
        <v>114.78709677419354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IFERROR(__xludf.DUMMYFUNCTION("IMPORTRANGE(""https://docs.google.com/spreadsheets/d/1eHaY18a8A9IcSdp1K8H6x8fbOy06t2VsZHhMHf-1x7Y/edit?usp=sharing"",""แผน!IO30"")"),10)</f>
        <v>10</v>
      </c>
      <c r="J676" s="184">
        <f ca="1">IFERROR(__xludf.DUMMYFUNCTION("IMPORTRANGE(""https://docs.google.com/spreadsheets/d/1tdoBKaGub7dwA3U6UFTqxio9LNnvDCQjHKmttSEBsFQ/edit?usp=sharing"",""จัดที่ดิน!BF30"")"),8)</f>
        <v>8</v>
      </c>
      <c r="K676" s="224">
        <f ca="1">IF(I676&gt;0,J676*100/I676,0)</f>
        <v>80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IFERROR(__xludf.DUMMYFUNCTION("IMPORTRANGE(""https://docs.google.com/spreadsheets/d/1tdoBKaGub7dwA3U6UFTqxio9LNnvDCQjHKmttSEBsFQ/edit?usp=sharing"",""จัดที่ดิน!BG30"")"),10)</f>
        <v>10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IFERROR(__xludf.DUMMYFUNCTION("IMPORTRANGE(""https://docs.google.com/spreadsheets/d/1eHaY18a8A9IcSdp1K8H6x8fbOy06t2VsZHhMHf-1x7Y/edit?usp=sharing"",""แผน!IP30"")"),125)</f>
        <v>125</v>
      </c>
      <c r="J678" s="184">
        <f ca="1">IFERROR(__xludf.DUMMYFUNCTION("IMPORTRANGE(""https://docs.google.com/spreadsheets/d/1tdoBKaGub7dwA3U6UFTqxio9LNnvDCQjHKmttSEBsFQ/edit?usp=sharing"",""จัดที่ดิน!BH30"")"),177.92)</f>
        <v>177.92</v>
      </c>
      <c r="K678" s="224">
        <f ca="1">IF(I678&gt;0,J678*100/I678,0)</f>
        <v>142.33600000000001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IFERROR(__xludf.DUMMYFUNCTION("IMPORTRANGE(""https://docs.google.com/spreadsheets/d/1eHaY18a8A9IcSdp1K8H6x8fbOy06t2VsZHhMHf-1x7Y/edit?usp=sharing"",""แผน!IQ30"")"),3)</f>
        <v>3</v>
      </c>
      <c r="J679" s="184">
        <f ca="1">IFERROR(__xludf.DUMMYFUNCTION("IMPORTRANGE(""https://docs.google.com/spreadsheets/d/1tdoBKaGub7dwA3U6UFTqxio9LNnvDCQjHKmttSEBsFQ/edit?usp=sharing"",""จัดที่ดิน!BK30"")"),0)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IFERROR(__xludf.DUMMYFUNCTION("IMPORTRANGE(""https://docs.google.com/spreadsheets/d/1tdoBKaGub7dwA3U6UFTqxio9LNnvDCQjHKmttSEBsFQ/edit?usp=sharing"",""จัดที่ดิน!BL30"")"),0)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IFERROR(__xludf.DUMMYFUNCTION("IMPORTRANGE(""https://docs.google.com/spreadsheets/d/1eHaY18a8A9IcSdp1K8H6x8fbOy06t2VsZHhMHf-1x7Y/edit?usp=sharing"",""แผน!IR30"")"),30)</f>
        <v>30</v>
      </c>
      <c r="J681" s="184">
        <f ca="1">IFERROR(__xludf.DUMMYFUNCTION("IMPORTRANGE(""https://docs.google.com/spreadsheets/d/1tdoBKaGub7dwA3U6UFTqxio9LNnvDCQjHKmttSEBsFQ/edit?usp=sharing"",""จัดที่ดิน!BM30"")"),0)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IFERROR(__xludf.DUMMYFUNCTION("IMPORTRANGE(""https://docs.google.com/spreadsheets/d/1eHaY18a8A9IcSdp1K8H6x8fbOy06t2VsZHhMHf-1x7Y/edit?usp=sharing"",""แผน!IS30"")"),99)</f>
        <v>99</v>
      </c>
      <c r="J682" s="338">
        <f>J685+J688</f>
        <v>123</v>
      </c>
      <c r="K682" s="547">
        <f ca="1">IF(I682&gt;0,J682*100/I682,0)</f>
        <v>124.24242424242425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3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3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66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3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3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57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2" t="s">
        <v>35</v>
      </c>
      <c r="I689" s="871">
        <f ca="1">I707</f>
        <v>55</v>
      </c>
      <c r="J689" s="871">
        <f ca="1">J707</f>
        <v>55</v>
      </c>
      <c r="K689" s="551">
        <f ca="1">IF(I689&gt;0,J689*100/I689,0)</f>
        <v>100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159650</v>
      </c>
      <c r="R690" s="547">
        <f ca="1">R691+R692</f>
        <v>159650</v>
      </c>
      <c r="S690" s="547">
        <f ca="1">S691+S692</f>
        <v>145681.20000000001</v>
      </c>
      <c r="T690" s="547">
        <f ca="1">IF(Q690&gt;0,S690*100/Q690,0)</f>
        <v>91.250360162856254</v>
      </c>
      <c r="U690" s="547">
        <f ca="1">IF(R690&gt;0,S690*100/R690,0)</f>
        <v>91.250360162856254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159650</v>
      </c>
      <c r="R692" s="224">
        <f ca="1">R695+R698</f>
        <v>159650</v>
      </c>
      <c r="S692" s="224">
        <f ca="1">S695+S698</f>
        <v>145681.20000000001</v>
      </c>
      <c r="T692" s="224">
        <f ca="1">IF(Q692&gt;0,S692*100/Q692,0)</f>
        <v>91.250360162856254</v>
      </c>
      <c r="U692" s="224">
        <f ca="1">IF(R692&gt;0,S692*100/R692,0)</f>
        <v>91.250360162856254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159650</v>
      </c>
      <c r="R693" s="224">
        <f ca="1">R694+R695</f>
        <v>159650</v>
      </c>
      <c r="S693" s="224">
        <f ca="1">S694+S695</f>
        <v>145681.20000000001</v>
      </c>
      <c r="T693" s="224">
        <f ca="1">IF(Q693&gt;0,S693*100/Q693,0)</f>
        <v>91.250360162856254</v>
      </c>
      <c r="U693" s="224">
        <f ca="1">IF(R693&gt;0,S693*100/R693,0)</f>
        <v>91.250360162856254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5" s="224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5" s="224">
        <f ca="1">IFERROR(__xludf.DUMMYFUNCTION("IMPORTRANGE(""https://docs.google.com/spreadsheets/d/1ItG2mGa2ceCfYo0BwxsXqNm01IGEUdYcSSLTEv9YCik/edit?usp=sharing"",""เบิกจ่ายกองทุน!N30"")"),145681.2)</f>
        <v>145681.20000000001</v>
      </c>
      <c r="T695" s="224">
        <f ca="1">IF(Q695&gt;0,S695*100/Q695,0)</f>
        <v>91.250360162856254</v>
      </c>
      <c r="U695" s="224">
        <f ca="1">IF(R695&gt;0,S695*100/R695,0)</f>
        <v>91.250360162856254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IFERROR(__xludf.DUMMYFUNCTION("IMPORTRANGE(""https://docs.google.com/spreadsheets/d/1eHaY18a8A9IcSdp1K8H6x8fbOy06t2VsZHhMHf-1x7Y/edit?usp=sharing"",""แผน!LC30"")"),0)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59</v>
      </c>
      <c r="J701" s="338">
        <f ca="1">J703+J705</f>
        <v>59</v>
      </c>
      <c r="K701" s="547">
        <f ca="1">IF(I701&gt;0,J701*100/I701,0)</f>
        <v>100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54.02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IFERROR(__xludf.DUMMYFUNCTION("IMPORTRANGE(""https://docs.google.com/spreadsheets/d/1eHaY18a8A9IcSdp1K8H6x8fbOy06t2VsZHhMHf-1x7Y/edit?usp=sharing"",""แผน!LJ30"")"),55)</f>
        <v>55</v>
      </c>
      <c r="J703" s="184">
        <f ca="1">IFERROR(__xludf.DUMMYFUNCTION("IMPORTRANGE(""https://docs.google.com/spreadsheets/d/1tdoBKaGub7dwA3U6UFTqxio9LNnvDCQjHKmttSEBsFQ/edit?usp=sharing"",""จัดที่ดิน!AP30"")"),59)</f>
        <v>59</v>
      </c>
      <c r="K703" s="224">
        <f ca="1">IF(I703&gt;0,J703*100/I703,0)</f>
        <v>107.27272727272727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IFERROR(__xludf.DUMMYFUNCTION("IMPORTRANGE(""https://docs.google.com/spreadsheets/d/1tdoBKaGub7dwA3U6UFTqxio9LNnvDCQjHKmttSEBsFQ/edit?usp=sharing"",""จัดที่ดิน!AQ30"")"),54.02)</f>
        <v>54.02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IFERROR(__xludf.DUMMYFUNCTION("IMPORTRANGE(""https://docs.google.com/spreadsheets/d/1eHaY18a8A9IcSdp1K8H6x8fbOy06t2VsZHhMHf-1x7Y/edit?usp=sharing"",""แผน!LK30"")"),4)</f>
        <v>4</v>
      </c>
      <c r="J705" s="184">
        <f ca="1">IFERROR(__xludf.DUMMYFUNCTION("IMPORTRANGE(""https://docs.google.com/spreadsheets/d/1tdoBKaGub7dwA3U6UFTqxio9LNnvDCQjHKmttSEBsFQ/edit?usp=sharing"",""จัดที่ดิน!AR30"")"),0)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IFERROR(__xludf.DUMMYFUNCTION("IMPORTRANGE(""https://docs.google.com/spreadsheets/d/1tdoBKaGub7dwA3U6UFTqxio9LNnvDCQjHKmttSEBsFQ/edit?usp=sharing"",""จัดที่ดิน!AS30"")"),0)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IFERROR(__xludf.DUMMYFUNCTION("IMPORTRANGE(""https://docs.google.com/spreadsheets/d/1eHaY18a8A9IcSdp1K8H6x8fbOy06t2VsZHhMHf-1x7Y/edit?usp=sharing"",""แผน!LJ30"")"),55)</f>
        <v>55</v>
      </c>
      <c r="J707" s="184">
        <f ca="1">IFERROR(__xludf.DUMMYFUNCTION("IMPORTRANGE(""https://docs.google.com/spreadsheets/d/1tdoBKaGub7dwA3U6UFTqxio9LNnvDCQjHKmttSEBsFQ/edit?usp=sharing"",""จัดที่ดิน!BN30"")"),55)</f>
        <v>55</v>
      </c>
      <c r="K707" s="224">
        <f ca="1">IF(I707&gt;0,J707*100/I707,0)</f>
        <v>100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IFERROR(__xludf.DUMMYFUNCTION("IMPORTRANGE(""https://docs.google.com/spreadsheets/d/1tdoBKaGub7dwA3U6UFTqxio9LNnvDCQjHKmttSEBsFQ/edit?usp=sharing"",""จัดที่ดิน!BO30"")"),44)</f>
        <v>44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IFERROR(__xludf.DUMMYFUNCTION("IMPORTRANGE(""https://docs.google.com/spreadsheets/d/1eHaY18a8A9IcSdp1K8H6x8fbOy06t2VsZHhMHf-1x7Y/edit?usp=sharing"",""แผน!LK30"")"),4)</f>
        <v>4</v>
      </c>
      <c r="J709" s="184">
        <f ca="1">IFERROR(__xludf.DUMMYFUNCTION("IMPORTRANGE(""https://docs.google.com/spreadsheets/d/1tdoBKaGub7dwA3U6UFTqxio9LNnvDCQjHKmttSEBsFQ/edit?usp=sharing"",""จัดที่ดิน!BP30"")"),7)</f>
        <v>7</v>
      </c>
      <c r="K709" s="224">
        <f ca="1">IF(I709&gt;0,J709*100/I709,0)</f>
        <v>175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IFERROR(__xludf.DUMMYFUNCTION("IMPORTRANGE(""https://docs.google.com/spreadsheets/d/1tdoBKaGub7dwA3U6UFTqxio9LNnvDCQjHKmttSEBsFQ/edit?usp=sharing"",""จัดที่ดิน!BQ30"")"),0)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IFERROR(__xludf.DUMMYFUNCTION("IMPORTRANGE(""https://docs.google.com/spreadsheets/d/1eHaY18a8A9IcSdp1K8H6x8fbOy06t2VsZHhMHf-1x7Y/edit?usp=sharing"",""แผน!GA30"")"),128)</f>
        <v>128</v>
      </c>
      <c r="J726" s="552">
        <f>J742+J746+J749</f>
        <v>125</v>
      </c>
      <c r="K726" s="551">
        <f ca="1">IF(I726&gt;0,J726*100/I726,0)</f>
        <v>97.65625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IFERROR(__xludf.DUMMYFUNCTION("IMPORTRANGE(""https://docs.google.com/spreadsheets/d/1eHaY18a8A9IcSdp1K8H6x8fbOy06t2VsZHhMHf-1x7Y/edit?usp=sharing"",""แผน!FZ30"")"),1250)</f>
        <v>1250</v>
      </c>
      <c r="J727" s="552">
        <f>J752+J755</f>
        <v>1250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903321</v>
      </c>
      <c r="T728" s="547">
        <f ca="1">IF(Q728&gt;0,S728*100/Q728,0)</f>
        <v>89.573413190278345</v>
      </c>
      <c r="U728" s="547">
        <f ca="1">IF(R728&gt;0,S728*100/R728,0)</f>
        <v>89.573413190278345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903321</v>
      </c>
      <c r="T730" s="224">
        <f ca="1">IF(Q730&gt;0,S730*100/Q730,0)</f>
        <v>89.573413190278345</v>
      </c>
      <c r="U730" s="224">
        <f ca="1">IF(R730&gt;0,S730*100/R730,0)</f>
        <v>89.573413190278345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903321</v>
      </c>
      <c r="T731" s="224">
        <f ca="1">IF(Q731&gt;0,S731*100/Q731,0)</f>
        <v>89.573413190278345</v>
      </c>
      <c r="U731" s="224">
        <f ca="1">IF(R731&gt;0,S731*100/R731,0)</f>
        <v>89.573413190278345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IFERROR(__xludf.DUMMYFUNCTION("IMPORTRANGE(""https://docs.google.com/spreadsheets/d/1ItG2mGa2ceCfYo0BwxsXqNm01IGEUdYcSSLTEv9YCik/edit?usp=sharing"",""เบิกจ่ายกองทุน!Q30"")"),903321)</f>
        <v>903321</v>
      </c>
      <c r="T733" s="224">
        <f ca="1">IF(Q733&gt;0,S733*100/Q733,0)</f>
        <v>89.573413190278345</v>
      </c>
      <c r="U733" s="224">
        <f ca="1">IF(R733&gt;0,S733*100/R733,0)</f>
        <v>89.573413190278345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IFERROR(__xludf.DUMMYFUNCTION("IMPORTRANGE(""https://docs.google.com/spreadsheets/d/1eHaY18a8A9IcSdp1K8H6x8fbOy06t2VsZHhMHf-1x7Y/edit?usp=sharing"",""แผน!GB30"")"),1000)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61" t="s">
        <v>279</v>
      </c>
      <c r="G741" s="143"/>
      <c r="H741" s="133" t="s">
        <v>35</v>
      </c>
      <c r="I741" s="44"/>
      <c r="J741" s="380">
        <v>0</v>
      </c>
      <c r="K741" s="45"/>
      <c r="L741" s="543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61" t="s">
        <v>280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IFERROR(__xludf.DUMMYFUNCTION("IMPORTRANGE(""https://docs.google.com/spreadsheets/d/1eHaY18a8A9IcSdp1K8H6x8fbOy06t2VsZHhMHf-1x7Y/edit?usp=sharing"",""แผน!GC30"")"),100)</f>
        <v>100</v>
      </c>
      <c r="J742" s="380">
        <v>100</v>
      </c>
      <c r="K742" s="224">
        <f ca="1">IF(I742&gt;0,J742*100/I742,0)</f>
        <v>100</v>
      </c>
      <c r="L742" s="543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61" t="s">
        <v>281</v>
      </c>
      <c r="F743" s="139"/>
      <c r="G743" s="143"/>
      <c r="H743" s="180"/>
      <c r="I743" s="44"/>
      <c r="J743" s="44"/>
      <c r="K743" s="45"/>
      <c r="L743" s="543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61" t="s">
        <v>278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IFERROR(__xludf.DUMMYFUNCTION("IMPORTRANGE(""https://docs.google.com/spreadsheets/d/1eHaY18a8A9IcSdp1K8H6x8fbOy06t2VsZHhMHf-1x7Y/edit?usp=sharing"",""แผน!GD30"")"),250)</f>
        <v>250</v>
      </c>
      <c r="J744" s="380">
        <v>250</v>
      </c>
      <c r="K744" s="224">
        <f ca="1">IF(I744&gt;0,J744*100/I744,0)</f>
        <v>100</v>
      </c>
      <c r="L744" s="543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61" t="s">
        <v>282</v>
      </c>
      <c r="G745" s="143"/>
      <c r="H745" s="133" t="s">
        <v>35</v>
      </c>
      <c r="I745" s="44"/>
      <c r="J745" s="380"/>
      <c r="K745" s="45"/>
      <c r="L745" s="543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61" t="s">
        <v>283</v>
      </c>
      <c r="G746" s="143"/>
      <c r="H746" s="133" t="s">
        <v>35</v>
      </c>
      <c r="I746" s="184">
        <f ca="1">IFERROR(__xludf.DUMMYFUNCTION("IMPORTRANGE(""https://docs.google.com/spreadsheets/d/1eHaY18a8A9IcSdp1K8H6x8fbOy06t2VsZHhMHf-1x7Y/edit?usp=sharing"",""แผน!GE30"")"),25)</f>
        <v>25</v>
      </c>
      <c r="J746" s="380">
        <v>25</v>
      </c>
      <c r="K746" s="224">
        <f ca="1">IF(I746&gt;0,J746*100/I746,0)</f>
        <v>100</v>
      </c>
      <c r="L746" s="543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61" t="s">
        <v>284</v>
      </c>
      <c r="F747" s="145"/>
      <c r="G747" s="143"/>
      <c r="H747" s="180"/>
      <c r="I747" s="44"/>
      <c r="J747" s="44"/>
      <c r="K747" s="45"/>
      <c r="L747" s="543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61" t="s">
        <v>285</v>
      </c>
      <c r="G748" s="143"/>
      <c r="H748" s="133" t="s">
        <v>35</v>
      </c>
      <c r="I748" s="44"/>
      <c r="J748" s="380">
        <v>0</v>
      </c>
      <c r="K748" s="45"/>
      <c r="L748" s="543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61" t="s">
        <v>286</v>
      </c>
      <c r="G749" s="143"/>
      <c r="H749" s="133" t="s">
        <v>35</v>
      </c>
      <c r="I749" s="184">
        <f ca="1">IFERROR(__xludf.DUMMYFUNCTION("IMPORTRANGE(""https://docs.google.com/spreadsheets/d/1eHaY18a8A9IcSdp1K8H6x8fbOy06t2VsZHhMHf-1x7Y/edit?usp=sharing"",""แผน!GF30"")"),3)</f>
        <v>3</v>
      </c>
      <c r="J749" s="380">
        <v>0</v>
      </c>
      <c r="K749" s="224">
        <f ca="1">IF(I749&gt;0,J749*100/I749,0)</f>
        <v>0</v>
      </c>
      <c r="L749" s="543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90" t="s">
        <v>50</v>
      </c>
      <c r="E750" s="139"/>
      <c r="F750" s="145"/>
      <c r="G750" s="143"/>
      <c r="H750" s="180"/>
      <c r="I750" s="44"/>
      <c r="J750" s="44"/>
      <c r="K750" s="45"/>
      <c r="L750" s="543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61" t="s">
        <v>277</v>
      </c>
      <c r="F751" s="145"/>
      <c r="G751" s="143"/>
      <c r="H751" s="180"/>
      <c r="I751" s="44"/>
      <c r="J751" s="44"/>
      <c r="K751" s="45"/>
      <c r="L751" s="543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287</v>
      </c>
      <c r="G752" s="143"/>
      <c r="H752" s="133" t="s">
        <v>46</v>
      </c>
      <c r="I752" s="184">
        <f ca="1">IFERROR(__xludf.DUMMYFUNCTION("IMPORTRANGE(""https://docs.google.com/spreadsheets/d/1eHaY18a8A9IcSdp1K8H6x8fbOy06t2VsZHhMHf-1x7Y/edit?usp=sharing"",""แผน!GB30"")"),1000)</f>
        <v>1000</v>
      </c>
      <c r="J752" s="380">
        <v>1000</v>
      </c>
      <c r="K752" s="224">
        <f ca="1">IF(I752&gt;0,J752*100/I752,0)</f>
        <v>100</v>
      </c>
      <c r="L752" s="543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288</v>
      </c>
      <c r="G753" s="143"/>
      <c r="H753" s="133" t="s">
        <v>46</v>
      </c>
      <c r="I753" s="44"/>
      <c r="J753" s="380">
        <v>0</v>
      </c>
      <c r="K753" s="45"/>
      <c r="L753" s="543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61" t="s">
        <v>281</v>
      </c>
      <c r="F754" s="145"/>
      <c r="G754" s="143"/>
      <c r="H754" s="180"/>
      <c r="I754" s="44"/>
      <c r="J754" s="44"/>
      <c r="K754" s="45"/>
      <c r="L754" s="543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289</v>
      </c>
      <c r="G755" s="143"/>
      <c r="H755" s="133" t="s">
        <v>46</v>
      </c>
      <c r="I755" s="184">
        <f ca="1">IFERROR(__xludf.DUMMYFUNCTION("IMPORTRANGE(""https://docs.google.com/spreadsheets/d/1eHaY18a8A9IcSdp1K8H6x8fbOy06t2VsZHhMHf-1x7Y/edit?usp=sharing"",""แผน!GD30"")"),250)</f>
        <v>250</v>
      </c>
      <c r="J755" s="380">
        <v>250</v>
      </c>
      <c r="K755" s="224">
        <f ca="1">IF(I755&gt;0,J755*100/I755,0)</f>
        <v>100</v>
      </c>
      <c r="L755" s="543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290</v>
      </c>
      <c r="G756" s="143"/>
      <c r="H756" s="133" t="s">
        <v>46</v>
      </c>
      <c r="I756" s="44"/>
      <c r="J756" s="380">
        <v>0</v>
      </c>
      <c r="K756" s="45"/>
      <c r="L756" s="543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80</v>
      </c>
      <c r="J758" s="552">
        <f>J772</f>
        <v>80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120</v>
      </c>
      <c r="J759" s="552">
        <f>J774</f>
        <v>120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460700</v>
      </c>
      <c r="R760" s="547">
        <f ca="1">R761+R762</f>
        <v>460700</v>
      </c>
      <c r="S760" s="547">
        <f ca="1">S761+S762</f>
        <v>311390</v>
      </c>
      <c r="T760" s="547">
        <f ca="1">IF(Q760&gt;0,S760*100/Q760,0)</f>
        <v>67.590622965053186</v>
      </c>
      <c r="U760" s="547">
        <f ca="1">IF(R760&gt;0,S760*100/R760,0)</f>
        <v>67.590622965053186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460700</v>
      </c>
      <c r="R762" s="224">
        <f ca="1">R765+R768</f>
        <v>460700</v>
      </c>
      <c r="S762" s="224">
        <f ca="1">S765+S768</f>
        <v>311390</v>
      </c>
      <c r="T762" s="224">
        <f ca="1">IF(Q762&gt;0,S762*100/Q762,0)</f>
        <v>67.590622965053186</v>
      </c>
      <c r="U762" s="224">
        <f ca="1">IF(R762&gt;0,S762*100/R762,0)</f>
        <v>67.590622965053186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460700</v>
      </c>
      <c r="R763" s="224">
        <f ca="1">R764+R765</f>
        <v>460700</v>
      </c>
      <c r="S763" s="224">
        <f ca="1">S764+S765</f>
        <v>311390</v>
      </c>
      <c r="T763" s="224">
        <f ca="1">IF(Q763&gt;0,S763*100/Q763,0)</f>
        <v>67.590622965053186</v>
      </c>
      <c r="U763" s="224">
        <f ca="1">IF(R763&gt;0,S763*100/R763,0)</f>
        <v>67.590622965053186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IFERROR(__xludf.DUMMYFUNCTION("IMPORTRANGE(""https://docs.google.com/spreadsheets/d/1ItG2mGa2ceCfYo0BwxsXqNm01IGEUdYcSSLTEv9YCik/edit?usp=sharing"",""เบิกจ่ายกองทุน!AA30"")"),460700)</f>
        <v>460700</v>
      </c>
      <c r="R765" s="224">
        <f ca="1">IFERROR(__xludf.DUMMYFUNCTION("IMPORTRANGE(""https://docs.google.com/spreadsheets/d/1ItG2mGa2ceCfYo0BwxsXqNm01IGEUdYcSSLTEv9YCik/edit?usp=sharing"",""เบิกจ่ายกองทุน!AB30"")"),460700)</f>
        <v>460700</v>
      </c>
      <c r="S765" s="224">
        <f ca="1">IFERROR(__xludf.DUMMYFUNCTION("IMPORTRANGE(""https://docs.google.com/spreadsheets/d/1ItG2mGa2ceCfYo0BwxsXqNm01IGEUdYcSSLTEv9YCik/edit?usp=sharing"",""เบิกจ่ายกองทุน!AC30"")"),311390)</f>
        <v>311390</v>
      </c>
      <c r="T765" s="224">
        <f ca="1">IF(Q765&gt;0,S765*100/Q765,0)</f>
        <v>67.590622965053186</v>
      </c>
      <c r="U765" s="224">
        <f ca="1">IF(R765&gt;0,S765*100/R765,0)</f>
        <v>67.590622965053186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IFERROR(__xludf.DUMMYFUNCTION("IMPORTRANGE(""https://docs.google.com/spreadsheets/d/1eHaY18a8A9IcSdp1K8H6x8fbOy06t2VsZHhMHf-1x7Y/edit?usp=sharing"",""แผน!FI30"")"),1)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IFERROR(__xludf.DUMMYFUNCTION("IMPORTRANGE(""https://docs.google.com/spreadsheets/d/1eHaY18a8A9IcSdp1K8H6x8fbOy06t2VsZHhMHf-1x7Y/edit?usp=sharing"",""แผน!FQ30"")"),80)</f>
        <v>80</v>
      </c>
      <c r="J772" s="380">
        <v>80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IFERROR(__xludf.DUMMYFUNCTION("IMPORTRANGE(""https://docs.google.com/spreadsheets/d/1eHaY18a8A9IcSdp1K8H6x8fbOy06t2VsZHhMHf-1x7Y/edit?usp=sharing"",""แผน!FR30"")"),120)</f>
        <v>120</v>
      </c>
      <c r="J774" s="380">
        <v>120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IFERROR(__xludf.DUMMYFUNCTION("IMPORTRANGE(""https://docs.google.com/spreadsheets/d/1eHaY18a8A9IcSdp1K8H6x8fbOy06t2VsZHhMHf-1x7Y/edit?usp=sharing"",""แผน!FS30"")"),120)</f>
        <v>120</v>
      </c>
      <c r="J775" s="380">
        <v>120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IFERROR(__xludf.DUMMYFUNCTION("IMPORTRANGE(""https://docs.google.com/spreadsheets/d/1eHaY18a8A9IcSdp1K8H6x8fbOy06t2VsZHhMHf-1x7Y/edit?usp=sharing"",""แผน!FT30"")"),80)</f>
        <v>80</v>
      </c>
      <c r="J776" s="542">
        <v>80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IFERROR(__xludf.DUMMYFUNCTION("IMPORTRANGE(""https://docs.google.com/spreadsheets/d/10OvvATaaLtwErnr3qtWFcTmtbfpFEt5Bsqel9sXx0uE/edit?usp=sharing"",""งานกองทุน!D30"")"),2827112.07)</f>
        <v>2827112.07</v>
      </c>
      <c r="J778" s="184">
        <f ca="1">IFERROR(__xludf.DUMMYFUNCTION("IMPORTRANGE(""https://docs.google.com/spreadsheets/d/10OvvATaaLtwErnr3qtWFcTmtbfpFEt5Bsqel9sXx0uE/edit?usp=sharing"",""งานกองทุน!F30"")"),2893853.02)</f>
        <v>2893853.02</v>
      </c>
      <c r="K778" s="224">
        <f ca="1">IF(I778&gt;0,J778*100/I778,0)</f>
        <v>102.36074652675514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IFERROR(__xludf.DUMMYFUNCTION("IMPORTRANGE(""https://docs.google.com/spreadsheets/d/10OvvATaaLtwErnr3qtWFcTmtbfpFEt5Bsqel9sXx0uE/edit?usp=sharing"",""งานกองทุน!C30"")"),201)</f>
        <v>201</v>
      </c>
      <c r="J779" s="184">
        <f ca="1">IFERROR(__xludf.DUMMYFUNCTION("IMPORTRANGE(""https://docs.google.com/spreadsheets/d/10OvvATaaLtwErnr3qtWFcTmtbfpFEt5Bsqel9sXx0uE/edit?usp=sharing"",""งานกองทุน!E30"")"),290)</f>
        <v>290</v>
      </c>
      <c r="K779" s="224">
        <f ca="1">IF(I779&gt;0,J779*100/I779,0)</f>
        <v>144.27860696517413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4">
        <f ca="1">IFERROR(__xludf.DUMMYFUNCTION("IMPORTRANGE(""https://docs.google.com/spreadsheets/d/10OvvATaaLtwErnr3qtWFcTmtbfpFEt5Bsqel9sXx0uE/edit?usp=sharing"",""งานกองทุน!K30"")"),814950.96)</f>
        <v>814950.96</v>
      </c>
      <c r="K780" s="224">
        <f ca="1">IF(I780&gt;0,J780*100/I780,0)</f>
        <v>11.051308887846076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IFERROR(__xludf.DUMMYFUNCTION("IMPORTRANGE(""https://docs.google.com/spreadsheets/d/10OvvATaaLtwErnr3qtWFcTmtbfpFEt5Bsqel9sXx0uE/edit?usp=sharing"",""งานกองทุน!H30"")"),447)</f>
        <v>447</v>
      </c>
      <c r="J781" s="184">
        <f ca="1">IFERROR(__xludf.DUMMYFUNCTION("IMPORTRANGE(""https://docs.google.com/spreadsheets/d/10OvvATaaLtwErnr3qtWFcTmtbfpFEt5Bsqel9sXx0uE/edit?usp=sharing"",""งานกองทุน!J30"")"),151)</f>
        <v>151</v>
      </c>
      <c r="K781" s="224">
        <f ca="1">IF(I781&gt;0,J781*100/I781,0)</f>
        <v>33.780760626398212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4">
        <f ca="1">IFERROR(__xludf.DUMMYFUNCTION("IMPORTRANGE(""https://docs.google.com/spreadsheets/d/10OvvATaaLtwErnr3qtWFcTmtbfpFEt5Bsqel9sXx0uE/edit?usp=sharing"",""งานกองทุน!P30"")"),842546.92)</f>
        <v>842546.92</v>
      </c>
      <c r="K782" s="224">
        <f ca="1">IF(I782&gt;0,J782*100/I782,0)</f>
        <v>35.766820685089918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IFERROR(__xludf.DUMMYFUNCTION("IMPORTRANGE(""https://docs.google.com/spreadsheets/d/10OvvATaaLtwErnr3qtWFcTmtbfpFEt5Bsqel9sXx0uE/edit?usp=sharing"",""งานกองทุน!M30"")"),208)</f>
        <v>208</v>
      </c>
      <c r="J783" s="184">
        <f ca="1">IFERROR(__xludf.DUMMYFUNCTION("IMPORTRANGE(""https://docs.google.com/spreadsheets/d/10OvvATaaLtwErnr3qtWFcTmtbfpFEt5Bsqel9sXx0uE/edit?usp=sharing"",""งานกองทุน!O30"")"),104)</f>
        <v>104</v>
      </c>
      <c r="K783" s="224">
        <f ca="1">IF(I783&gt;0,J783*100/I783,0)</f>
        <v>50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IFERROR(__xludf.DUMMYFUNCTION("IMPORTRANGE(""https://docs.google.com/spreadsheets/d/10OvvATaaLtwErnr3qtWFcTmtbfpFEt5Bsqel9sXx0uE/edit?usp=sharing"",""งานกองทุน!S30"")"),3136000)</f>
        <v>3136000</v>
      </c>
      <c r="J784" s="184">
        <f ca="1">IFERROR(__xludf.DUMMYFUNCTION("IMPORTRANGE(""https://docs.google.com/spreadsheets/d/10OvvATaaLtwErnr3qtWFcTmtbfpFEt5Bsqel9sXx0uE/edit?usp=sharing"",""งานกองทุน!U30"")"),1980000)</f>
        <v>1980000</v>
      </c>
      <c r="K784" s="224">
        <f ca="1">IF(I784&gt;0,J784*100/I784,0)</f>
        <v>63.137755102040813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IFERROR(__xludf.DUMMYFUNCTION("IMPORTRANGE(""https://docs.google.com/spreadsheets/d/10OvvATaaLtwErnr3qtWFcTmtbfpFEt5Bsqel9sXx0uE/edit?usp=sharing"",""งานกองทุน!R30"")"),112)</f>
        <v>112</v>
      </c>
      <c r="J785" s="188">
        <f ca="1">IFERROR(__xludf.DUMMYFUNCTION("IMPORTRANGE(""https://docs.google.com/spreadsheets/d/10OvvATaaLtwErnr3qtWFcTmtbfpFEt5Bsqel9sXx0uE/edit?usp=sharing"",""งานกองทุน!T30"")"),99)</f>
        <v>99</v>
      </c>
      <c r="K785" s="508">
        <f ca="1">IF(I785&gt;0,J785*100/I785,0)</f>
        <v>88.392857142857139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46EB9-929D-4F30-9059-04916505B957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186" activePane="bottomRight" state="frozen"/>
      <selection activeCell="W87" sqref="W87"/>
      <selection pane="topRight" activeCell="W87" sqref="W87"/>
      <selection pane="bottomLeft" activeCell="W87" sqref="W87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319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3847252</v>
      </c>
      <c r="M18" s="755">
        <f ca="1">M19+M20</f>
        <v>4187108</v>
      </c>
      <c r="N18" s="755">
        <f ca="1">N19+N20</f>
        <v>3450229.22</v>
      </c>
      <c r="O18" s="755">
        <f ca="1">IF(L18&gt;0,N18*100/L18,0)</f>
        <v>89.680354185273018</v>
      </c>
      <c r="P18" s="755">
        <f ca="1">IF(M18&gt;0,N18*100/M18,0)</f>
        <v>82.401247352587987</v>
      </c>
      <c r="Q18" s="755">
        <f ca="1">Q19+Q20</f>
        <v>3355744.24</v>
      </c>
      <c r="R18" s="755">
        <f ca="1">R19+R20</f>
        <v>3186640</v>
      </c>
      <c r="S18" s="755">
        <f ca="1">S19+S20</f>
        <v>1460430</v>
      </c>
      <c r="T18" s="755">
        <f ca="1">IF(Q18&gt;0,S18*100/Q18,0)</f>
        <v>43.520301177660663</v>
      </c>
      <c r="U18" s="755">
        <f ca="1">IF(R18&gt;0,S18*100/R18,0)</f>
        <v>45.829776818216054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3847252</v>
      </c>
      <c r="M20" s="794">
        <f ca="1">M23+M26</f>
        <v>4187108</v>
      </c>
      <c r="N20" s="794">
        <f ca="1">N23+N26</f>
        <v>3450229.22</v>
      </c>
      <c r="O20" s="794">
        <f ca="1">IF(L20&gt;0,N20*100/L20,0)</f>
        <v>89.680354185273018</v>
      </c>
      <c r="P20" s="794">
        <f ca="1">IF(M20&gt;0,N20*100/M20,0)</f>
        <v>82.401247352587987</v>
      </c>
      <c r="Q20" s="794">
        <f ca="1">Q23+Q26</f>
        <v>3355744.24</v>
      </c>
      <c r="R20" s="794">
        <f ca="1">R23+R26</f>
        <v>3186640</v>
      </c>
      <c r="S20" s="794">
        <f ca="1">S23+S26</f>
        <v>1460430</v>
      </c>
      <c r="T20" s="794">
        <f ca="1">IF(Q20&gt;0,S20*100/Q20,0)</f>
        <v>43.520301177660663</v>
      </c>
      <c r="U20" s="794">
        <f ca="1">IF(R20&gt;0,S20*100/R20,0)</f>
        <v>45.829776818216054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3847252</v>
      </c>
      <c r="M21" s="224">
        <f ca="1">M22+M23</f>
        <v>4187108</v>
      </c>
      <c r="N21" s="224">
        <f ca="1">N22+N23</f>
        <v>3450229.22</v>
      </c>
      <c r="O21" s="224">
        <f ca="1">IF(L21&gt;0,N21*100/L21,0)</f>
        <v>89.680354185273018</v>
      </c>
      <c r="P21" s="224">
        <f ca="1">IF(M21&gt;0,N21*100/M21,0)</f>
        <v>82.401247352587987</v>
      </c>
      <c r="Q21" s="224">
        <f ca="1">Q22+Q23</f>
        <v>3355744.24</v>
      </c>
      <c r="R21" s="224">
        <f ca="1">R22+R23</f>
        <v>3186640</v>
      </c>
      <c r="S21" s="224">
        <f ca="1">S22+S23</f>
        <v>1460430</v>
      </c>
      <c r="T21" s="224">
        <f ca="1">IF(Q21&gt;0,S21*100/Q21,0)</f>
        <v>43.520301177660663</v>
      </c>
      <c r="U21" s="224">
        <f ca="1">IF(R21&gt;0,S21*100/R21,0)</f>
        <v>45.829776818216054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3847252</v>
      </c>
      <c r="M23" s="224">
        <f ca="1">M49+M64+M77+M99+M122+M144+M162+M191+M178+M271+M287+M308+M325+M338+M361+M380+M418+M498+M518+M539+M560+M581+M604+M621+M647+M695+M719+M733+M765</f>
        <v>4187108</v>
      </c>
      <c r="N23" s="224">
        <f ca="1">N49+N64+N77+N99+N122+N144+N162+N191+N178+N271+N287+N308+N325+N338+N361+N380+N418+N498+N518+N539+N560+N581+N604+N621+N647+N695+N719+N733+N765</f>
        <v>3450229.22</v>
      </c>
      <c r="O23" s="224">
        <f ca="1">IF(L23&gt;0,N23*100/L23,0)</f>
        <v>89.680354185273018</v>
      </c>
      <c r="P23" s="224">
        <f ca="1">IF(M23&gt;0,N23*100/M23,0)</f>
        <v>82.401247352587987</v>
      </c>
      <c r="Q23" s="224">
        <f ca="1">Q77+Q99+Q122+Q144+Q162+Q178+Q191+Q271+Q287+Q308+Q338+Q380+Q397+Q418+Q498+Q604+Q621+Q647+Q695+Q719+Q733+Q765</f>
        <v>3355744.24</v>
      </c>
      <c r="R23" s="224">
        <f ca="1">R77+R99+R122+R144+R162+R178+R191+R271+R287+R308+R338+R380+R397+R418+R498+R604+R621+R647+R695+R719+R733+R765</f>
        <v>3186640</v>
      </c>
      <c r="S23" s="224">
        <f ca="1">S77+S99+S122+S144+S162+S178+S191+S271+S287+S308+S338+S380+S397+S418+S498+S604+S621+S647+S695+S719+S733+S765</f>
        <v>1460430</v>
      </c>
      <c r="T23" s="224">
        <f ca="1">IF(Q23&gt;0,S23*100/Q23,0)</f>
        <v>43.520301177660663</v>
      </c>
      <c r="U23" s="224">
        <f ca="1">IF(R23&gt;0,S23*100/R23,0)</f>
        <v>45.829776818216054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3131202</v>
      </c>
      <c r="M40" s="790">
        <f ca="1">M44+M59+M72+M94+M125+M139+M157+M173+M186+M266+M282+M303+M320+M333+M356</f>
        <v>3471058</v>
      </c>
      <c r="N40" s="790">
        <f ca="1">N44+N59+N72+N94+N125+N139+N157+N173+N186+N266+N282+N303+N320+N333+N356</f>
        <v>3176869.22</v>
      </c>
      <c r="O40" s="790">
        <f ca="1">IF(L40&gt;0,N40*100/L40,0)</f>
        <v>101.45845652883462</v>
      </c>
      <c r="P40" s="790">
        <f ca="1">IF(M40&gt;0,N40*100/M40,0)</f>
        <v>91.524521341907857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486312</v>
      </c>
      <c r="M44" s="784">
        <f ca="1">M45+M46</f>
        <v>617038</v>
      </c>
      <c r="N44" s="784">
        <f ca="1">N45+N46</f>
        <v>555374</v>
      </c>
      <c r="O44" s="784">
        <f ca="1">IF(L44&gt;0,N44*100/L44,0)</f>
        <v>114.20117126453799</v>
      </c>
      <c r="P44" s="784">
        <f ca="1">IF(M44&gt;0,N44*100/M44,0)</f>
        <v>90.006450170005735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486312</v>
      </c>
      <c r="M46" s="778">
        <f ca="1">M49+M52</f>
        <v>617038</v>
      </c>
      <c r="N46" s="778">
        <f ca="1">N49+N52</f>
        <v>555374</v>
      </c>
      <c r="O46" s="778">
        <f ca="1">IF(L46&gt;0,N46*100/L46,0)</f>
        <v>114.20117126453799</v>
      </c>
      <c r="P46" s="778">
        <f ca="1">IF(M46&gt;0,N46*100/M46,0)</f>
        <v>90.006450170005735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486312</v>
      </c>
      <c r="M47" s="224">
        <f ca="1">M48+M49</f>
        <v>617038</v>
      </c>
      <c r="N47" s="224">
        <f ca="1">N48+N49</f>
        <v>555374</v>
      </c>
      <c r="O47" s="224">
        <f ca="1">IF(L47&gt;0,N47*100/L47,0)</f>
        <v>114.20117126453799</v>
      </c>
      <c r="P47" s="224">
        <f ca="1">IF(M47&gt;0,N47*100/M47,0)</f>
        <v>90.006450170005735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IFERROR(__xludf.DUMMYFUNCTION("IMPORTRANGE(""https://docs.google.com/spreadsheets/d/1-uDff_7J0KD5mKrp0Vvzr7lt3OU09vwQwhkpOPPYv2Y/edit?usp=sharing"",""งบพรบ!P14"")"),486312)</f>
        <v>486312</v>
      </c>
      <c r="M49" s="224">
        <f ca="1">IFERROR(__xludf.DUMMYFUNCTION("IMPORTRANGE(""https://docs.google.com/spreadsheets/d/1-uDff_7J0KD5mKrp0Vvzr7lt3OU09vwQwhkpOPPYv2Y/edit?usp=sharing"",""งบพรบ!V14"")"),617038)</f>
        <v>617038</v>
      </c>
      <c r="N49" s="224">
        <f ca="1">IFERROR(__xludf.DUMMYFUNCTION("IMPORTRANGE(""https://docs.google.com/spreadsheets/d/1-uDff_7J0KD5mKrp0Vvzr7lt3OU09vwQwhkpOPPYv2Y/edit?usp=sharing"",""งบพรบ!Y14"")"),555374)</f>
        <v>555374</v>
      </c>
      <c r="O49" s="224">
        <f ca="1">IF(L49&gt;0,N49*100/L49,0)</f>
        <v>114.20117126453799</v>
      </c>
      <c r="P49" s="224">
        <f ca="1">IF(M49&gt;0,N49*100/M49,0)</f>
        <v>90.006450170005735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IFERROR(__xludf.DUMMYFUNCTION("IMPORTRANGE(""https://docs.google.com/spreadsheets/d/1-uDff_7J0KD5mKrp0Vvzr7lt3OU09vwQwhkpOPPYv2Y/edit?usp=sharing"",""งบพรบ!S14"")"),0)</f>
        <v>0</v>
      </c>
      <c r="M52" s="224">
        <f ca="1">IFERROR(__xludf.DUMMYFUNCTION("IMPORTRANGE(""https://docs.google.com/spreadsheets/d/1-uDff_7J0KD5mKrp0Vvzr7lt3OU09vwQwhkpOPPYv2Y/edit?usp=sharing"",""งบพรบ!W14"")"),0)</f>
        <v>0</v>
      </c>
      <c r="N52" s="224">
        <f ca="1">IFERROR(__xludf.DUMMYFUNCTION("IMPORTRANGE(""https://docs.google.com/spreadsheets/d/1-uDff_7J0KD5mKrp0Vvzr7lt3OU09vwQwhkpOPPYv2Y/edit?usp=sharing"",""งบพรบ!Z14"")"),0)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850700</v>
      </c>
      <c r="M59" s="772">
        <f ca="1">M60+M61</f>
        <v>850700</v>
      </c>
      <c r="N59" s="772">
        <f ca="1">N60+N61</f>
        <v>823695.39</v>
      </c>
      <c r="O59" s="772">
        <f ca="1">IF(L59&gt;0,N59*100/L59,0)</f>
        <v>96.82560126954273</v>
      </c>
      <c r="P59" s="772">
        <f ca="1">IF(M59&gt;0,N59*100/M59,0)</f>
        <v>96.82560126954273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850700</v>
      </c>
      <c r="M61" s="766">
        <f ca="1">M64+M67</f>
        <v>850700</v>
      </c>
      <c r="N61" s="766">
        <f ca="1">N64+N67</f>
        <v>823695.39</v>
      </c>
      <c r="O61" s="766">
        <f ca="1">IF(L61&gt;0,N61*100/L61,0)</f>
        <v>96.82560126954273</v>
      </c>
      <c r="P61" s="766">
        <f ca="1">IF(M61&gt;0,N61*100/M61,0)</f>
        <v>96.82560126954273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850700</v>
      </c>
      <c r="M62" s="224">
        <f ca="1">M63+M64</f>
        <v>850700</v>
      </c>
      <c r="N62" s="224">
        <f ca="1">N63+N64</f>
        <v>823695.39</v>
      </c>
      <c r="O62" s="224">
        <f ca="1">IF(L62&gt;0,N62*100/L62,0)</f>
        <v>96.82560126954273</v>
      </c>
      <c r="P62" s="224">
        <f ca="1">IF(M62&gt;0,N62*100/M62,0)</f>
        <v>96.82560126954273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IFERROR(__xludf.DUMMYFUNCTION("IMPORTRANGE(""https://docs.google.com/spreadsheets/d/1-uDff_7J0KD5mKrp0Vvzr7lt3OU09vwQwhkpOPPYv2Y/edit?usp=sharing"",""งบพรบ!AC14"")"),850700)</f>
        <v>850700</v>
      </c>
      <c r="M64" s="224">
        <f ca="1">IFERROR(__xludf.DUMMYFUNCTION("IMPORTRANGE(""https://docs.google.com/spreadsheets/d/1-uDff_7J0KD5mKrp0Vvzr7lt3OU09vwQwhkpOPPYv2Y/edit?usp=sharing"",""งบพรบ!AH14"")"),850700)</f>
        <v>850700</v>
      </c>
      <c r="N64" s="224">
        <f ca="1">IFERROR(__xludf.DUMMYFUNCTION("IMPORTRANGE(""https://docs.google.com/spreadsheets/d/1-uDff_7J0KD5mKrp0Vvzr7lt3OU09vwQwhkpOPPYv2Y/edit?usp=sharing"",""งบพรบ!AJ14"")"),823695.39)</f>
        <v>823695.39</v>
      </c>
      <c r="O64" s="224">
        <f ca="1">IF(L64&gt;0,N64*100/L64,0)</f>
        <v>96.82560126954273</v>
      </c>
      <c r="P64" s="224">
        <f ca="1">IF(M64&gt;0,N64*100/M64,0)</f>
        <v>96.82560126954273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IFERROR(__xludf.DUMMYFUNCTION("IMPORTRANGE(""https://docs.google.com/spreadsheets/d/1-uDff_7J0KD5mKrp0Vvzr7lt3OU09vwQwhkpOPPYv2Y/edit?usp=sharing"",""งบพรบ!AF14"")"),0)</f>
        <v>0</v>
      </c>
      <c r="M67" s="508">
        <f ca="1">IFERROR(__xludf.DUMMYFUNCTION("IMPORTRANGE(""https://docs.google.com/spreadsheets/d/1-uDff_7J0KD5mKrp0Vvzr7lt3OU09vwQwhkpOPPYv2Y/edit?usp=sharing"",""งบพรบ!AI14"")"),0)</f>
        <v>0</v>
      </c>
      <c r="N67" s="508">
        <f ca="1">IFERROR(__xludf.DUMMYFUNCTION("IMPORTRANGE(""https://docs.google.com/spreadsheets/d/1-uDff_7J0KD5mKrp0Vvzr7lt3OU09vwQwhkpOPPYv2Y/edit?usp=sharing"",""งบพรบ!AK14"")"),0)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IFERROR(__xludf.DUMMYFUNCTION("IMPORTRANGE(""https://docs.google.com/spreadsheets/d/1-uDff_7J0KD5mKrp0Vvzr7lt3OU09vwQwhkpOPPYv2Y/edit?usp=sharing"",""งบพรบ!AM14"")"),0)</f>
        <v>0</v>
      </c>
      <c r="M77" s="224">
        <f ca="1">IFERROR(__xludf.DUMMYFUNCTION("IMPORTRANGE(""https://docs.google.com/spreadsheets/d/1-uDff_7J0KD5mKrp0Vvzr7lt3OU09vwQwhkpOPPYv2Y/edit?usp=sharing"",""งบพรบ!AR14"")"),0)</f>
        <v>0</v>
      </c>
      <c r="N77" s="224">
        <f ca="1">IFERROR(__xludf.DUMMYFUNCTION("IMPORTRANGE(""https://docs.google.com/spreadsheets/d/1-uDff_7J0KD5mKrp0Vvzr7lt3OU09vwQwhkpOPPYv2Y/edit?usp=sharing"",""งบพรบ!AT14"")"),0)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IFERROR(__xludf.DUMMYFUNCTION("IMPORTRANGE(""https://docs.google.com/spreadsheets/d/1ItG2mGa2ceCfYo0BwxsXqNm01IGEUdYcSSLTEv9YCik/edit?usp=sharing"",""เบิกจ่ายกองทุน!BH14"")"),0)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IFERROR(__xludf.DUMMYFUNCTION("IMPORTRANGE(""https://docs.google.com/spreadsheets/d/1ItG2mGa2ceCfYo0BwxsXqNm01IGEUdYcSSLTEv9YCik/edit?usp=sharing"",""เบิกจ่ายกองทุน!BI14"")"),0)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IFERROR(__xludf.DUMMYFUNCTION("IMPORTRANGE(""https://docs.google.com/spreadsheets/d/1ItG2mGa2ceCfYo0BwxsXqNm01IGEUdYcSSLTEv9YCik/edit?usp=sharing"",""เบิกจ่ายกองทุน!BJ14"")"),0)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IFERROR(__xludf.DUMMYFUNCTION("IMPORTRANGE(""https://docs.google.com/spreadsheets/d/1-uDff_7J0KD5mKrp0Vvzr7lt3OU09vwQwhkpOPPYv2Y/edit?usp=sharing"",""งบพรบ!AP14"")"),0)</f>
        <v>0</v>
      </c>
      <c r="M80" s="224">
        <f ca="1">IFERROR(__xludf.DUMMYFUNCTION("IMPORTRANGE(""https://docs.google.com/spreadsheets/d/1-uDff_7J0KD5mKrp0Vvzr7lt3OU09vwQwhkpOPPYv2Y/edit?usp=sharing"",""งบพรบ!AS14"")"),0)</f>
        <v>0</v>
      </c>
      <c r="N80" s="224">
        <f ca="1">IFERROR(__xludf.DUMMYFUNCTION("IMPORTRANGE(""https://docs.google.com/spreadsheets/d/1-uDff_7J0KD5mKrp0Vvzr7lt3OU09vwQwhkpOPPYv2Y/edit?usp=sharing"",""งบพรบ!AU14"")"),0)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IFERROR(__xludf.DUMMYFUNCTION("IMPORTRANGE(""https://docs.google.com/spreadsheets/d/1ItG2mGa2ceCfYo0BwxsXqNm01IGEUdYcSSLTEv9YCik/edit?usp=sharing"",""เบิกจ่ายกองทุน!BK14"")"),0)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IFERROR(__xludf.DUMMYFUNCTION("IMPORTRANGE(""https://docs.google.com/spreadsheets/d/1ItG2mGa2ceCfYo0BwxsXqNm01IGEUdYcSSLTEv9YCik/edit?usp=sharing"",""เบิกจ่ายกองทุน!BL14"")"),0)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IFERROR(__xludf.DUMMYFUNCTION("IMPORTRANGE(""https://docs.google.com/spreadsheets/d/1ItG2mGa2ceCfYo0BwxsXqNm01IGEUdYcSSLTEv9YCik/edit?usp=sharing"",""เบิกจ่ายกองทุน!BM14"")"),0)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IFERROR(__xludf.DUMMYFUNCTION("IMPORTRANGE(""https://docs.google.com/spreadsheets/d/1eHaY18a8A9IcSdp1K8H6x8fbOy06t2VsZHhMHf-1x7Y/edit?usp=sharing"",""แผน!H14"")"),0)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IFERROR(__xludf.DUMMYFUNCTION("IMPORTRANGE(""https://docs.google.com/spreadsheets/d/1eHaY18a8A9IcSdp1K8H6x8fbOy06t2VsZHhMHf-1x7Y/edit?usp=sharing"",""แผน!I14"")"),0)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IFERROR(__xludf.DUMMYFUNCTION("IMPORTRANGE(""https://docs.google.com/spreadsheets/d/1eHaY18a8A9IcSdp1K8H6x8fbOy06t2VsZHhMHf-1x7Y/edit?usp=sharing"",""แผน!F14"")"),0)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IFERROR(__xludf.DUMMYFUNCTION("IMPORTRANGE(""https://docs.google.com/spreadsheets/d/1eHaY18a8A9IcSdp1K8H6x8fbOy06t2VsZHhMHf-1x7Y/edit?usp=sharing"",""แผน!G14"")"),0)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IFERROR(__xludf.DUMMYFUNCTION("IMPORTRANGE(""https://docs.google.com/spreadsheets/d/1eHaY18a8A9IcSdp1K8H6x8fbOy06t2VsZHhMHf-1x7Y/edit?usp=sharing"",""แผน!D14"")"),0)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IFERROR(__xludf.DUMMYFUNCTION("IMPORTRANGE(""https://docs.google.com/spreadsheets/d/1eHaY18a8A9IcSdp1K8H6x8fbOy06t2VsZHhMHf-1x7Y/edit?usp=sharing"",""แผน!E14"")"),0)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IFERROR(__xludf.DUMMYFUNCTION("IMPORTRANGE(""https://docs.google.com/spreadsheets/d/1eHaY18a8A9IcSdp1K8H6x8fbOy06t2VsZHhMHf-1x7Y/edit?usp=sharing"",""แผน!J14"")"),0)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IFERROR(__xludf.DUMMYFUNCTION("IMPORTRANGE(""https://docs.google.com/spreadsheets/d/1-uDff_7J0KD5mKrp0Vvzr7lt3OU09vwQwhkpOPPYv2Y/edit?usp=sharing"",""งบพรบ!AW14"")"),0)</f>
        <v>0</v>
      </c>
      <c r="M99" s="224">
        <f ca="1">IFERROR(__xludf.DUMMYFUNCTION("IMPORTRANGE(""https://docs.google.com/spreadsheets/d/1-uDff_7J0KD5mKrp0Vvzr7lt3OU09vwQwhkpOPPYv2Y/edit?usp=sharing"",""งบพรบ!BB14"")"),0)</f>
        <v>0</v>
      </c>
      <c r="N99" s="224">
        <f ca="1">IFERROR(__xludf.DUMMYFUNCTION("IMPORTRANGE(""https://docs.google.com/spreadsheets/d/1-uDff_7J0KD5mKrp0Vvzr7lt3OU09vwQwhkpOPPYv2Y/edit?usp=sharing"",""งบพรบ!BD14"")"),0)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IFERROR(__xludf.DUMMYFUNCTION("IMPORTRANGE(""https://docs.google.com/spreadsheets/d/1ItG2mGa2ceCfYo0BwxsXqNm01IGEUdYcSSLTEv9YCik/edit?usp=sharing"",""เบิกจ่ายกองทุน!AJ14"")"),0)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IFERROR(__xludf.DUMMYFUNCTION("IMPORTRANGE(""https://docs.google.com/spreadsheets/d/1ItG2mGa2ceCfYo0BwxsXqNm01IGEUdYcSSLTEv9YCik/edit?usp=sharing"",""เบิกจ่ายกองทุน!AK14"")"),0)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IFERROR(__xludf.DUMMYFUNCTION("IMPORTRANGE(""https://docs.google.com/spreadsheets/d/1ItG2mGa2ceCfYo0BwxsXqNm01IGEUdYcSSLTEv9YCik/edit?usp=sharing"",""เบิกจ่ายกองทุน!AL14"")"),0)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IFERROR(__xludf.DUMMYFUNCTION("IMPORTRANGE(""https://docs.google.com/spreadsheets/d/1-uDff_7J0KD5mKrp0Vvzr7lt3OU09vwQwhkpOPPYv2Y/edit?usp=sharing"",""งบพรบ!AZ14"")"),0)</f>
        <v>0</v>
      </c>
      <c r="M102" s="224">
        <f ca="1">IFERROR(__xludf.DUMMYFUNCTION("IMPORTRANGE(""https://docs.google.com/spreadsheets/d/1-uDff_7J0KD5mKrp0Vvzr7lt3OU09vwQwhkpOPPYv2Y/edit?usp=sharing"",""งบพรบ!BC14"")"),0)</f>
        <v>0</v>
      </c>
      <c r="N102" s="224">
        <f ca="1">IFERROR(__xludf.DUMMYFUNCTION("IMPORTRANGE(""https://docs.google.com/spreadsheets/d/1-uDff_7J0KD5mKrp0Vvzr7lt3OU09vwQwhkpOPPYv2Y/edit?usp=sharing"",""งบพรบ!BE14"")"),0)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IFERROR(__xludf.DUMMYFUNCTION("IMPORTRANGE(""https://docs.google.com/spreadsheets/d/1eHaY18a8A9IcSdp1K8H6x8fbOy06t2VsZHhMHf-1x7Y/edit?usp=sharing"",""แผน!N14"")"),0)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IFERROR(__xludf.DUMMYFUNCTION("IMPORTRANGE(""https://docs.google.com/spreadsheets/d/1eHaY18a8A9IcSdp1K8H6x8fbOy06t2VsZHhMHf-1x7Y/edit?usp=sharing"",""แผน!O14"")"),0)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IFERROR(__xludf.DUMMYFUNCTION("IMPORTRANGE(""https://docs.google.com/spreadsheets/d/1eHaY18a8A9IcSdp1K8H6x8fbOy06t2VsZHhMHf-1x7Y/edit?usp=sharing"",""แผน!R14"")"),0)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70</v>
      </c>
      <c r="J116" s="756">
        <f>J127</f>
        <v>70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333320</v>
      </c>
      <c r="R117" s="547">
        <f ca="1">R118+R119</f>
        <v>333320</v>
      </c>
      <c r="S117" s="547">
        <f ca="1">S118+S119</f>
        <v>307320</v>
      </c>
      <c r="T117" s="547">
        <f ca="1">IF(Q117&gt;0,S117*100/Q117,0)</f>
        <v>92.199687987519496</v>
      </c>
      <c r="U117" s="547">
        <f ca="1">IF(R117&gt;0,S117*100/R117,0)</f>
        <v>92.199687987519496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333320</v>
      </c>
      <c r="R119" s="224">
        <f ca="1">R122+R125</f>
        <v>333320</v>
      </c>
      <c r="S119" s="224">
        <f ca="1">S122+S125</f>
        <v>307320</v>
      </c>
      <c r="T119" s="224">
        <f ca="1">IF(Q119&gt;0,S119*100/Q119,0)</f>
        <v>92.199687987519496</v>
      </c>
      <c r="U119" s="224">
        <f ca="1">IF(R119&gt;0,S119*100/R119,0)</f>
        <v>92.199687987519496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333320</v>
      </c>
      <c r="R120" s="224">
        <f ca="1">R121+R122</f>
        <v>333320</v>
      </c>
      <c r="S120" s="224">
        <f ca="1">S121+S122</f>
        <v>307320</v>
      </c>
      <c r="T120" s="224">
        <f ca="1">IF(Q120&gt;0,S120*100/Q120,0)</f>
        <v>92.199687987519496</v>
      </c>
      <c r="U120" s="224">
        <f ca="1">IF(R120&gt;0,S120*100/R120,0)</f>
        <v>92.199687987519496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IFERROR(__xludf.DUMMYFUNCTION("IMPORTRANGE(""https://docs.google.com/spreadsheets/d/1-uDff_7J0KD5mKrp0Vvzr7lt3OU09vwQwhkpOPPYv2Y/edit?usp=sharing"",""งบพรบ!BG14"")"),0)</f>
        <v>0</v>
      </c>
      <c r="M122" s="224">
        <f ca="1">IFERROR(__xludf.DUMMYFUNCTION("IMPORTRANGE(""https://docs.google.com/spreadsheets/d/1-uDff_7J0KD5mKrp0Vvzr7lt3OU09vwQwhkpOPPYv2Y/edit?usp=sharing"",""งบพรบ!BL14"")"),0)</f>
        <v>0</v>
      </c>
      <c r="N122" s="224">
        <f ca="1">IFERROR(__xludf.DUMMYFUNCTION("IMPORTRANGE(""https://docs.google.com/spreadsheets/d/1-uDff_7J0KD5mKrp0Vvzr7lt3OU09vwQwhkpOPPYv2Y/edit?usp=sharing"",""งบพรบ!BN14"")"),0)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IFERROR(__xludf.DUMMYFUNCTION("IMPORTRANGE(""https://docs.google.com/spreadsheets/d/1ItG2mGa2ceCfYo0BwxsXqNm01IGEUdYcSSLTEv9YCik/edit?usp=sharing"",""เบิกจ่ายกองทุน!U14"")"),333320)</f>
        <v>333320</v>
      </c>
      <c r="R122" s="224">
        <f ca="1">IFERROR(__xludf.DUMMYFUNCTION("IMPORTRANGE(""https://docs.google.com/spreadsheets/d/1ItG2mGa2ceCfYo0BwxsXqNm01IGEUdYcSSLTEv9YCik/edit?usp=sharing"",""เบิกจ่ายกองทุน!V14"")"),333320)</f>
        <v>333320</v>
      </c>
      <c r="S122" s="224">
        <f ca="1">IFERROR(__xludf.DUMMYFUNCTION("IMPORTRANGE(""https://docs.google.com/spreadsheets/d/1ItG2mGa2ceCfYo0BwxsXqNm01IGEUdYcSSLTEv9YCik/edit?usp=sharing"",""เบิกจ่ายกองทุน!W14"")"),307320)</f>
        <v>307320</v>
      </c>
      <c r="T122" s="224">
        <f ca="1">IF(Q122&gt;0,S122*100/Q122,0)</f>
        <v>92.199687987519496</v>
      </c>
      <c r="U122" s="224">
        <f ca="1">IF(R122&gt;0,S122*100/R122,0)</f>
        <v>92.199687987519496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IFERROR(__xludf.DUMMYFUNCTION("IMPORTRANGE(""https://docs.google.com/spreadsheets/d/1-uDff_7J0KD5mKrp0Vvzr7lt3OU09vwQwhkpOPPYv2Y/edit?usp=sharing"",""งบพรบ!BJ14"")"),0)</f>
        <v>0</v>
      </c>
      <c r="M125" s="224">
        <f ca="1">IFERROR(__xludf.DUMMYFUNCTION("IMPORTRANGE(""https://docs.google.com/spreadsheets/d/1-uDff_7J0KD5mKrp0Vvzr7lt3OU09vwQwhkpOPPYv2Y/edit?usp=sharing"",""งบพรบ!BM14"")"),0)</f>
        <v>0</v>
      </c>
      <c r="N125" s="224">
        <f ca="1">IFERROR(__xludf.DUMMYFUNCTION("IMPORTRANGE(""https://docs.google.com/spreadsheets/d/1-uDff_7J0KD5mKrp0Vvzr7lt3OU09vwQwhkpOPPYv2Y/edit?usp=sharing"",""งบพรบ!BO14"")"),0)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IFERROR(__xludf.DUMMYFUNCTION("IMPORTRANGE(""https://docs.google.com/spreadsheets/d/1ItG2mGa2ceCfYo0BwxsXqNm01IGEUdYcSSLTEv9YCik/edit?usp=sharing"",""เบิกจ่ายกองทุน!X14"")"),0)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IFERROR(__xludf.DUMMYFUNCTION("IMPORTRANGE(""https://docs.google.com/spreadsheets/d/1ItG2mGa2ceCfYo0BwxsXqNm01IGEUdYcSSLTEv9YCik/edit?usp=sharing"",""เบิกจ่ายกองทุน!Y14"")"),0)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IFERROR(__xludf.DUMMYFUNCTION("IMPORTRANGE(""https://docs.google.com/spreadsheets/d/1ItG2mGa2ceCfYo0BwxsXqNm01IGEUdYcSSLTEv9YCik/edit?usp=sharing"",""เบิกจ่ายกองทุน!Z14"")"),0)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IFERROR(__xludf.DUMMYFUNCTION("IMPORTRANGE(""https://docs.google.com/spreadsheets/d/1eHaY18a8A9IcSdp1K8H6x8fbOy06t2VsZHhMHf-1x7Y/edit?usp=sharing"",""แผน!FF14"")"),70)</f>
        <v>70</v>
      </c>
      <c r="J127" s="380">
        <v>70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IFERROR(__xludf.DUMMYFUNCTION("IMPORTRANGE(""https://docs.google.com/spreadsheets/d/1eHaY18a8A9IcSdp1K8H6x8fbOy06t2VsZHhMHf-1x7Y/edit?usp=sharing"",""แผน!FG14"")"),2)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IFERROR(__xludf.DUMMYFUNCTION("IMPORTRANGE(""https://docs.google.com/spreadsheets/d/1eHaY18a8A9IcSdp1K8H6x8fbOy06t2VsZHhMHf-1x7Y/edit?usp=sharing"",""แผน!FH14"")"),20)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IFERROR(__xludf.DUMMYFUNCTION("IMPORTRANGE(""https://docs.google.com/spreadsheets/d/1eHaY18a8A9IcSdp1K8H6x8fbOy06t2VsZHhMHf-1x7Y/edit?usp=sharing"",""แผน!FI14"")"),1)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IFERROR(__xludf.DUMMYFUNCTION("IMPORTRANGE(""https://docs.google.com/spreadsheets/d/1-uDff_7J0KD5mKrp0Vvzr7lt3OU09vwQwhkpOPPYv2Y/edit?usp=sharing"",""งบพรบ!BQ14"")"),0)</f>
        <v>0</v>
      </c>
      <c r="M144" s="224">
        <f ca="1">IFERROR(__xludf.DUMMYFUNCTION("IMPORTRANGE(""https://docs.google.com/spreadsheets/d/1-uDff_7J0KD5mKrp0Vvzr7lt3OU09vwQwhkpOPPYv2Y/edit?usp=sharing"",""งบพรบ!BV14"")"),0)</f>
        <v>0</v>
      </c>
      <c r="N144" s="224">
        <f ca="1">IFERROR(__xludf.DUMMYFUNCTION("IMPORTRANGE(""https://docs.google.com/spreadsheets/d/1-uDff_7J0KD5mKrp0Vvzr7lt3OU09vwQwhkpOPPYv2Y/edit?usp=sharing"",""งบพรบ!BX14"")"),0)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IFERROR(__xludf.DUMMYFUNCTION("IMPORTRANGE(""https://docs.google.com/spreadsheets/d/1ItG2mGa2ceCfYo0BwxsXqNm01IGEUdYcSSLTEv9YCik/edit?usp=sharing"",""เบิกจ่ายกองทุน!CF14"")"),0)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IFERROR(__xludf.DUMMYFUNCTION("IMPORTRANGE(""https://docs.google.com/spreadsheets/d/1ItG2mGa2ceCfYo0BwxsXqNm01IGEUdYcSSLTEv9YCik/edit?usp=sharing"",""เบิกจ่ายกองทุน!CG14"")"),0)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IFERROR(__xludf.DUMMYFUNCTION("IMPORTRANGE(""https://docs.google.com/spreadsheets/d/1ItG2mGa2ceCfYo0BwxsXqNm01IGEUdYcSSLTEv9YCik/edit?usp=sharing"",""เบิกจ่ายกองทุน!CH14"")"),0)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IFERROR(__xludf.DUMMYFUNCTION("IMPORTRANGE(""https://docs.google.com/spreadsheets/d/1-uDff_7J0KD5mKrp0Vvzr7lt3OU09vwQwhkpOPPYv2Y/edit?usp=sharing"",""งบพรบ!BT14"")"),0)</f>
        <v>0</v>
      </c>
      <c r="M147" s="224">
        <f ca="1">IFERROR(__xludf.DUMMYFUNCTION("IMPORTRANGE(""https://docs.google.com/spreadsheets/d/1-uDff_7J0KD5mKrp0Vvzr7lt3OU09vwQwhkpOPPYv2Y/edit?usp=sharing"",""งบพรบ!BW14"")"),0)</f>
        <v>0</v>
      </c>
      <c r="N147" s="224">
        <f ca="1">IFERROR(__xludf.DUMMYFUNCTION("IMPORTRANGE(""https://docs.google.com/spreadsheets/d/1-uDff_7J0KD5mKrp0Vvzr7lt3OU09vwQwhkpOPPYv2Y/edit?usp=sharing"",""งบพรบ!BY14"")"),0)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IFERROR(__xludf.DUMMYFUNCTION("IMPORTRANGE(""https://docs.google.com/spreadsheets/d/1ItG2mGa2ceCfYo0BwxsXqNm01IGEUdYcSSLTEv9YCik/edit?usp=sharing"",""เบิกจ่ายกองทุน!CI14"")"),0)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IFERROR(__xludf.DUMMYFUNCTION("IMPORTRANGE(""https://docs.google.com/spreadsheets/d/1ItG2mGa2ceCfYo0BwxsXqNm01IGEUdYcSSLTEv9YCik/edit?usp=sharing"",""เบิกจ่ายกองทุน!CJ14"")"),0)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IFERROR(__xludf.DUMMYFUNCTION("IMPORTRANGE(""https://docs.google.com/spreadsheets/d/1ItG2mGa2ceCfYo0BwxsXqNm01IGEUdYcSSLTEv9YCik/edit?usp=sharing"",""เบิกจ่ายกองทุน!CK14"")"),0)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IFERROR(__xludf.DUMMYFUNCTION("IMPORTRANGE(""https://docs.google.com/spreadsheets/d/1eHaY18a8A9IcSdp1K8H6x8fbOy06t2VsZHhMHf-1x7Y/edit?usp=sharing"",""แผน!U14"")"),0)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IFERROR(__xludf.DUMMYFUNCTION("IMPORTRANGE(""https://docs.google.com/spreadsheets/d/1eHaY18a8A9IcSdp1K8H6x8fbOy06t2VsZHhMHf-1x7Y/edit?usp=sharing"",""แผน!V14"")"),0)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IFERROR(__xludf.DUMMYFUNCTION("IMPORTRANGE(""https://docs.google.com/spreadsheets/d/1eHaY18a8A9IcSdp1K8H6x8fbOy06t2VsZHhMHf-1x7Y/edit?usp=sharing"",""แผน!W14"")"),0)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IFERROR(__xludf.DUMMYFUNCTION("IMPORTRANGE(""https://docs.google.com/spreadsheets/d/1eHaY18a8A9IcSdp1K8H6x8fbOy06t2VsZHhMHf-1x7Y/edit?usp=sharing"",""แผน!X14"")"),0)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IFERROR(__xludf.DUMMYFUNCTION("IMPORTRANGE(""https://docs.google.com/spreadsheets/d/1eHaY18a8A9IcSdp1K8H6x8fbOy06t2VsZHhMHf-1x7Y/edit?usp=sharing"",""แผน!Y14"")"),0)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0</v>
      </c>
      <c r="N157" s="547">
        <f ca="1">N158+N159</f>
        <v>0</v>
      </c>
      <c r="O157" s="547">
        <f ca="1">IF(L157&gt;0,N157*100/L157,0)</f>
        <v>0</v>
      </c>
      <c r="P157" s="547">
        <f ca="1">IF(M157&gt;0,N157*100/M157,0)</f>
        <v>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0</v>
      </c>
      <c r="N159" s="224">
        <f ca="1">N162+N165</f>
        <v>0</v>
      </c>
      <c r="O159" s="224">
        <f ca="1">IF(L159&gt;0,N159*100/L159,0)</f>
        <v>0</v>
      </c>
      <c r="P159" s="224">
        <f ca="1">IF(M159&gt;0,N159*100/M159,0)</f>
        <v>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0</v>
      </c>
      <c r="N160" s="224">
        <f ca="1">N161+N162</f>
        <v>0</v>
      </c>
      <c r="O160" s="224">
        <f ca="1">IF(L160&gt;0,N160*100/L160,0)</f>
        <v>0</v>
      </c>
      <c r="P160" s="224">
        <f ca="1">IF(M160&gt;0,N160*100/M160,0)</f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IFERROR(__xludf.DUMMYFUNCTION("IMPORTRANGE(""https://docs.google.com/spreadsheets/d/1-uDff_7J0KD5mKrp0Vvzr7lt3OU09vwQwhkpOPPYv2Y/edit?usp=sharing"",""งบพรบ!CA14"")"),0)</f>
        <v>0</v>
      </c>
      <c r="M162" s="224">
        <f ca="1">IFERROR(__xludf.DUMMYFUNCTION("IMPORTRANGE(""https://docs.google.com/spreadsheets/d/1-uDff_7J0KD5mKrp0Vvzr7lt3OU09vwQwhkpOPPYv2Y/edit?usp=sharing"",""งบพรบ!CF14"")"),0)</f>
        <v>0</v>
      </c>
      <c r="N162" s="224">
        <f ca="1">IFERROR(__xludf.DUMMYFUNCTION("IMPORTRANGE(""https://docs.google.com/spreadsheets/d/1-uDff_7J0KD5mKrp0Vvzr7lt3OU09vwQwhkpOPPYv2Y/edit?usp=sharing"",""งบพรบ!CH14"")"),0)</f>
        <v>0</v>
      </c>
      <c r="O162" s="224">
        <f ca="1">IF(L162&gt;0,N162*100/L162,0)</f>
        <v>0</v>
      </c>
      <c r="P162" s="224">
        <f ca="1">IF(M162&gt;0,N162*100/M162,0)</f>
        <v>0</v>
      </c>
      <c r="Q162" s="224">
        <f ca="1">IFERROR(__xludf.DUMMYFUNCTION("IMPORTRANGE(""https://docs.google.com/spreadsheets/d/1ItG2mGa2ceCfYo0BwxsXqNm01IGEUdYcSSLTEv9YCik/edit?usp=sharing"",""เบิกจ่ายกองทุน!AM14"")"),0)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IFERROR(__xludf.DUMMYFUNCTION("IMPORTRANGE(""https://docs.google.com/spreadsheets/d/1ItG2mGa2ceCfYo0BwxsXqNm01IGEUdYcSSLTEv9YCik/edit?usp=sharing"",""เบิกจ่ายกองทุน!AN14"")"),0)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IFERROR(__xludf.DUMMYFUNCTION("IMPORTRANGE(""https://docs.google.com/spreadsheets/d/1ItG2mGa2ceCfYo0BwxsXqNm01IGEUdYcSSLTEv9YCik/edit?usp=sharing"",""เบิกจ่ายกองทุน!AO14"")"),0)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IFERROR(__xludf.DUMMYFUNCTION("IMPORTRANGE(""https://docs.google.com/spreadsheets/d/1-uDff_7J0KD5mKrp0Vvzr7lt3OU09vwQwhkpOPPYv2Y/edit?usp=sharing"",""งบพรบ!CD14"")"),0)</f>
        <v>0</v>
      </c>
      <c r="M165" s="224">
        <f ca="1">IFERROR(__xludf.DUMMYFUNCTION("IMPORTRANGE(""https://docs.google.com/spreadsheets/d/1-uDff_7J0KD5mKrp0Vvzr7lt3OU09vwQwhkpOPPYv2Y/edit?usp=sharing"",""งบพรบ!CG14"")"),0)</f>
        <v>0</v>
      </c>
      <c r="N165" s="224">
        <f ca="1">IFERROR(__xludf.DUMMYFUNCTION("IMPORTRANGE(""https://docs.google.com/spreadsheets/d/1-uDff_7J0KD5mKrp0Vvzr7lt3OU09vwQwhkpOPPYv2Y/edit?usp=sharing"",""งบพรบ!CI14"")"),0)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IFERROR(__xludf.DUMMYFUNCTION("IMPORTRANGE(""https://docs.google.com/spreadsheets/d/1eHaY18a8A9IcSdp1K8H6x8fbOy06t2VsZHhMHf-1x7Y/edit?usp=sharing"",""แผน!Z14"")"),0)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IFERROR(__xludf.DUMMYFUNCTION("IMPORTRANGE(""https://docs.google.com/spreadsheets/d/1eHaY18a8A9IcSdp1K8H6x8fbOy06t2VsZHhMHf-1x7Y/edit?usp=sharing"",""แผน!Z14"")"),0)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IFERROR(__xludf.DUMMYFUNCTION("IMPORTRANGE(""https://docs.google.com/spreadsheets/d/1eHaY18a8A9IcSdp1K8H6x8fbOy06t2VsZHhMHf-1x7Y/edit?usp=sharing"",""แผน!Z14"")"),0)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31260</v>
      </c>
      <c r="N173" s="547">
        <f ca="1">N174+N175</f>
        <v>31260</v>
      </c>
      <c r="O173" s="547">
        <f ca="1">IF(L173&gt;0,N173*100/L173,0)</f>
        <v>159.57120980091884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31260</v>
      </c>
      <c r="N175" s="224">
        <f ca="1">N178+N181</f>
        <v>31260</v>
      </c>
      <c r="O175" s="224">
        <f ca="1">IF(L175&gt;0,N175*100/L175,0)</f>
        <v>159.57120980091884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31260</v>
      </c>
      <c r="N176" s="224">
        <f ca="1">N177+N178</f>
        <v>31260</v>
      </c>
      <c r="O176" s="224">
        <f ca="1">IF(L176&gt;0,N176*100/L176,0)</f>
        <v>159.57120980091884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IFERROR(__xludf.DUMMYFUNCTION("IMPORTRANGE(""https://docs.google.com/spreadsheets/d/1-uDff_7J0KD5mKrp0Vvzr7lt3OU09vwQwhkpOPPYv2Y/edit?usp=sharing"",""งบพรบ!CK14"")"),19590)</f>
        <v>19590</v>
      </c>
      <c r="M178" s="224">
        <f ca="1">IFERROR(__xludf.DUMMYFUNCTION("IMPORTRANGE(""https://docs.google.com/spreadsheets/d/1-uDff_7J0KD5mKrp0Vvzr7lt3OU09vwQwhkpOPPYv2Y/edit?usp=sharing"",""งบพรบ!CP14"")"),31260)</f>
        <v>31260</v>
      </c>
      <c r="N178" s="224">
        <f ca="1">IFERROR(__xludf.DUMMYFUNCTION("IMPORTRANGE(""https://docs.google.com/spreadsheets/d/1-uDff_7J0KD5mKrp0Vvzr7lt3OU09vwQwhkpOPPYv2Y/edit?usp=sharing"",""งบพรบ!CR14"")"),31260)</f>
        <v>31260</v>
      </c>
      <c r="O178" s="224">
        <f ca="1">IF(L178&gt;0,N178*100/L178,0)</f>
        <v>159.57120980091884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IFERROR(__xludf.DUMMYFUNCTION("IMPORTRANGE(""https://docs.google.com/spreadsheets/d/1ItG2mGa2ceCfYo0BwxsXqNm01IGEUdYcSSLTEv9YCik/edit?usp=sharing"",""เบิกจ่ายกองทุน!DG14"")"),0)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IFERROR(__xludf.DUMMYFUNCTION("IMPORTRANGE(""https://docs.google.com/spreadsheets/d/1ItG2mGa2ceCfYo0BwxsXqNm01IGEUdYcSSLTEv9YCik/edit?usp=sharing"",""เบิกจ่ายกองทุน!DH14"")"),0)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IFERROR(__xludf.DUMMYFUNCTION("IMPORTRANGE(""https://docs.google.com/spreadsheets/d/1ItG2mGa2ceCfYo0BwxsXqNm01IGEUdYcSSLTEv9YCik/edit?usp=sharing"",""เบิกจ่ายกองทุน!DI14"")"),0)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IFERROR(__xludf.DUMMYFUNCTION("IMPORTRANGE(""https://docs.google.com/spreadsheets/d/1-uDff_7J0KD5mKrp0Vvzr7lt3OU09vwQwhkpOPPYv2Y/edit?usp=sharing"",""งบพรบ!CN14"")"),0)</f>
        <v>0</v>
      </c>
      <c r="M181" s="224">
        <f ca="1">IFERROR(__xludf.DUMMYFUNCTION("IMPORTRANGE(""https://docs.google.com/spreadsheets/d/1-uDff_7J0KD5mKrp0Vvzr7lt3OU09vwQwhkpOPPYv2Y/edit?usp=sharing"",""งบพรบ!CQ14"")"),0)</f>
        <v>0</v>
      </c>
      <c r="N181" s="224">
        <f ca="1">IFERROR(__xludf.DUMMYFUNCTION("IMPORTRANGE(""https://docs.google.com/spreadsheets/d/1-uDff_7J0KD5mKrp0Vvzr7lt3OU09vwQwhkpOPPYv2Y/edit?usp=sharing"",""งบพรบ!CS14"")"),0)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IFERROR(__xludf.DUMMYFUNCTION("IMPORTRANGE(""https://docs.google.com/spreadsheets/d/1eHaY18a8A9IcSdp1K8H6x8fbOy06t2VsZHhMHf-1x7Y/edit?usp=sharing"",""แผน!AA14"")"),7)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235500</v>
      </c>
      <c r="M186" s="547">
        <f ca="1">M187+M188</f>
        <v>243200</v>
      </c>
      <c r="N186" s="547">
        <f ca="1">N187+N188</f>
        <v>243200</v>
      </c>
      <c r="O186" s="547">
        <f ca="1">IF(L186&gt;0,N186*100/L186,0)</f>
        <v>103.26963906581742</v>
      </c>
      <c r="P186" s="547">
        <f ca="1">IF(M186&gt;0,N186*100/M186,0)</f>
        <v>100</v>
      </c>
      <c r="Q186" s="547">
        <f ca="1">Q187+Q188</f>
        <v>0</v>
      </c>
      <c r="R186" s="547">
        <f ca="1">R187+R188</f>
        <v>0</v>
      </c>
      <c r="S186" s="547">
        <f ca="1">S187+S188</f>
        <v>0</v>
      </c>
      <c r="T186" s="547">
        <f ca="1">IF(Q186&gt;0,S186*100/Q186,0)</f>
        <v>0</v>
      </c>
      <c r="U186" s="547">
        <f ca="1">IF(R186&gt;0,S186*100/R186,0)</f>
        <v>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235500</v>
      </c>
      <c r="M188" s="224">
        <f ca="1">M191+M194</f>
        <v>243200</v>
      </c>
      <c r="N188" s="224">
        <f ca="1">N191+N194</f>
        <v>243200</v>
      </c>
      <c r="O188" s="224">
        <f ca="1">IF(L188&gt;0,N188*100/L188,0)</f>
        <v>103.26963906581742</v>
      </c>
      <c r="P188" s="224">
        <f ca="1">IF(M188&gt;0,N188*100/M188,0)</f>
        <v>100</v>
      </c>
      <c r="Q188" s="224">
        <f ca="1">Q191+Q194</f>
        <v>0</v>
      </c>
      <c r="R188" s="224">
        <f ca="1">R191+R194</f>
        <v>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235500</v>
      </c>
      <c r="M189" s="224">
        <f ca="1">M190+M191</f>
        <v>243200</v>
      </c>
      <c r="N189" s="224">
        <f ca="1">N190+N191</f>
        <v>243200</v>
      </c>
      <c r="O189" s="224">
        <f ca="1">IF(L189&gt;0,N189*100/L189,0)</f>
        <v>103.26963906581742</v>
      </c>
      <c r="P189" s="224">
        <f ca="1">IF(M189&gt;0,N189*100/M189,0)</f>
        <v>100</v>
      </c>
      <c r="Q189" s="224">
        <f ca="1">Q190+Q191</f>
        <v>0</v>
      </c>
      <c r="R189" s="224">
        <f ca="1">R190+R191</f>
        <v>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IFERROR(__xludf.DUMMYFUNCTION("IMPORTRANGE(""https://docs.google.com/spreadsheets/d/1-uDff_7J0KD5mKrp0Vvzr7lt3OU09vwQwhkpOPPYv2Y/edit?usp=sharing"",""งบพรบ!CU14"")"),235500)</f>
        <v>235500</v>
      </c>
      <c r="M191" s="224">
        <f ca="1">IFERROR(__xludf.DUMMYFUNCTION("IMPORTRANGE(""https://docs.google.com/spreadsheets/d/1-uDff_7J0KD5mKrp0Vvzr7lt3OU09vwQwhkpOPPYv2Y/edit?usp=sharing"",""งบพรบ!CZ14"")"),243200)</f>
        <v>243200</v>
      </c>
      <c r="N191" s="224">
        <f ca="1">IFERROR(__xludf.DUMMYFUNCTION("IMPORTRANGE(""https://docs.google.com/spreadsheets/d/1-uDff_7J0KD5mKrp0Vvzr7lt3OU09vwQwhkpOPPYv2Y/edit?usp=sharing"",""งบพรบ!DB14"")"),243200)</f>
        <v>243200</v>
      </c>
      <c r="O191" s="224">
        <f ca="1">IF(L191&gt;0,N191*100/L191,0)</f>
        <v>103.26963906581742</v>
      </c>
      <c r="P191" s="224">
        <f ca="1">IF(M191&gt;0,N191*100/M191,0)</f>
        <v>100</v>
      </c>
      <c r="Q191" s="224">
        <f ca="1">IFERROR(__xludf.DUMMYFUNCTION("IMPORTRANGE(""https://docs.google.com/spreadsheets/d/1ItG2mGa2ceCfYo0BwxsXqNm01IGEUdYcSSLTEv9YCik/edit?usp=sharing"",""เบิกจ่ายกองทุน!BQ14"")"),0)</f>
        <v>0</v>
      </c>
      <c r="R191" s="224">
        <f ca="1">IFERROR(__xludf.DUMMYFUNCTION("IMPORTRANGE(""https://docs.google.com/spreadsheets/d/1ItG2mGa2ceCfYo0BwxsXqNm01IGEUdYcSSLTEv9YCik/edit?usp=sharing"",""เบิกจ่ายกองทุน!BR14"")"),0)</f>
        <v>0</v>
      </c>
      <c r="S191" s="224">
        <f ca="1">IFERROR(__xludf.DUMMYFUNCTION("IMPORTRANGE(""https://docs.google.com/spreadsheets/d/1ItG2mGa2ceCfYo0BwxsXqNm01IGEUdYcSSLTEv9YCik/edit?usp=sharing"",""เบิกจ่ายกองทุน!BS14"")"),0)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IFERROR(__xludf.DUMMYFUNCTION("IMPORTRANGE(""https://docs.google.com/spreadsheets/d/1-uDff_7J0KD5mKrp0Vvzr7lt3OU09vwQwhkpOPPYv2Y/edit?usp=sharing"",""งบพรบ!CX14"")"),0)</f>
        <v>0</v>
      </c>
      <c r="M194" s="224">
        <f ca="1">IFERROR(__xludf.DUMMYFUNCTION("IMPORTRANGE(""https://docs.google.com/spreadsheets/d/1-uDff_7J0KD5mKrp0Vvzr7lt3OU09vwQwhkpOPPYv2Y/edit?usp=sharing"",""งบพรบ!DA14"")"),0)</f>
        <v>0</v>
      </c>
      <c r="N194" s="224">
        <f ca="1">IFERROR(__xludf.DUMMYFUNCTION("IMPORTRANGE(""https://docs.google.com/spreadsheets/d/1-uDff_7J0KD5mKrp0Vvzr7lt3OU09vwQwhkpOPPYv2Y/edit?usp=sharing"",""งบพรบ!DC14"")"),0)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IFERROR(__xludf.DUMMYFUNCTION("IMPORTRANGE(""https://docs.google.com/spreadsheets/d/1ItG2mGa2ceCfYo0BwxsXqNm01IGEUdYcSSLTEv9YCik/edit?usp=sharing"",""เบิกจ่ายกองทุน!BT14"")"),0)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IFERROR(__xludf.DUMMYFUNCTION("IMPORTRANGE(""https://docs.google.com/spreadsheets/d/1ItG2mGa2ceCfYo0BwxsXqNm01IGEUdYcSSLTEv9YCik/edit?usp=sharing"",""เบิกจ่ายกองทุน!BU14"")"),0)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IFERROR(__xludf.DUMMYFUNCTION("IMPORTRANGE(""https://docs.google.com/spreadsheets/d/1ItG2mGa2ceCfYo0BwxsXqNm01IGEUdYcSSLTEv9YCik/edit?usp=sharing"",""เบิกจ่ายกองทุน!BV14"")"),0)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IFERROR(__xludf.DUMMYFUNCTION("IMPORTRANGE(""https://docs.google.com/spreadsheets/d/1eHaY18a8A9IcSdp1K8H6x8fbOy06t2VsZHhMHf-1x7Y/edit?usp=sharing"",""แผน!AB14"")"),6000)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IFERROR(__xludf.DUMMYFUNCTION("IMPORTRANGE(""https://docs.google.com/spreadsheets/d/1eHaY18a8A9IcSdp1K8H6x8fbOy06t2VsZHhMHf-1x7Y/edit?usp=sharing"",""แผน!AE14"")"),4)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104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104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39000</v>
      </c>
      <c r="M203" s="45"/>
      <c r="N203" s="547">
        <f>N204+N205+N206+N207</f>
        <v>39000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IFERROR(__xludf.DUMMYFUNCTION("IMPORTRANGE(""https://docs.google.com/spreadsheets/d/1eHaY18a8A9IcSdp1K8H6x8fbOy06t2VsZHhMHf-1x7Y/edit?usp=sharing"",""แผน!AG14"")"),3000)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IFERROR(__xludf.DUMMYFUNCTION("IMPORTRANGE(""https://docs.google.com/spreadsheets/d/1eHaY18a8A9IcSdp1K8H6x8fbOy06t2VsZHhMHf-1x7Y/edit?usp=sharing"",""แผน!AH14"")"),0)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IFERROR(__xludf.DUMMYFUNCTION("IMPORTRANGE(""https://docs.google.com/spreadsheets/d/1eHaY18a8A9IcSdp1K8H6x8fbOy06t2VsZHhMHf-1x7Y/edit?usp=sharing"",""แผน!AI14"")"),24000)</f>
        <v>24000</v>
      </c>
      <c r="M206" s="45"/>
      <c r="N206" s="737">
        <v>24000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IFERROR(__xludf.DUMMYFUNCTION("IMPORTRANGE(""https://docs.google.com/spreadsheets/d/1eHaY18a8A9IcSdp1K8H6x8fbOy06t2VsZHhMHf-1x7Y/edit?usp=sharing"",""แผน!LV14"")"),0)</f>
        <v>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IFERROR(__xludf.DUMMYFUNCTION("IMPORTRANGE(""https://docs.google.com/spreadsheets/d/1eHaY18a8A9IcSdp1K8H6x8fbOy06t2VsZHhMHf-1x7Y/edit?usp=sharing"",""แผน!AJ14"")"),12000)</f>
        <v>12000</v>
      </c>
      <c r="M207" s="45"/>
      <c r="N207" s="737">
        <v>12000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IFERROR(__xludf.DUMMYFUNCTION("IMPORTRANGE(""https://docs.google.com/spreadsheets/d/1eHaY18a8A9IcSdp1K8H6x8fbOy06t2VsZHhMHf-1x7Y/edit?usp=sharing"",""แผน!AK14"")"),3)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IFERROR(__xludf.DUMMYFUNCTION("IMPORTRANGE(""https://docs.google.com/spreadsheets/d/1eHaY18a8A9IcSdp1K8H6x8fbOy06t2VsZHhMHf-1x7Y/edit?usp=sharing"",""แผน!JX14"")"),3)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IFERROR(__xludf.DUMMYFUNCTION("IMPORTRANGE(""https://docs.google.com/spreadsheets/d/1eHaY18a8A9IcSdp1K8H6x8fbOy06t2VsZHhMHf-1x7Y/edit?usp=sharing"",""แผน!JY14"")"),0)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IFERROR(__xludf.DUMMYFUNCTION("IMPORTRANGE(""https://docs.google.com/spreadsheets/d/1eHaY18a8A9IcSdp1K8H6x8fbOy06t2VsZHhMHf-1x7Y/edit?usp=sharing"",""แผน!AM14"")"),0)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IFERROR(__xludf.DUMMYFUNCTION("IMPORTRANGE(""https://docs.google.com/spreadsheets/d/1eHaY18a8A9IcSdp1K8H6x8fbOy06t2VsZHhMHf-1x7Y/edit?usp=sharing"",""แผน!AN14"")"),0)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IFERROR(__xludf.DUMMYFUNCTION("IMPORTRANGE(""https://docs.google.com/spreadsheets/d/1eHaY18a8A9IcSdp1K8H6x8fbOy06t2VsZHhMHf-1x7Y/edit?usp=sharing"",""แผน!AO14"")"),0)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IFERROR(__xludf.DUMMYFUNCTION("IMPORTRANGE(""https://docs.google.com/spreadsheets/d/1eHaY18a8A9IcSdp1K8H6x8fbOy06t2VsZHhMHf-1x7Y/edit?usp=sharing"",""แผน!LY14"")"),0)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IFERROR(__xludf.DUMMYFUNCTION("IMPORTRANGE(""https://docs.google.com/spreadsheets/d/1eHaY18a8A9IcSdp1K8H6x8fbOy06t2VsZHhMHf-1x7Y/edit?usp=sharing"",""แผน!AP14"")"),0)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IFERROR(__xludf.DUMMYFUNCTION("IMPORTRANGE(""https://docs.google.com/spreadsheets/d/1eHaY18a8A9IcSdp1K8H6x8fbOy06t2VsZHhMHf-1x7Y/edit?usp=sharing"",""แผน!AP14"")"),0)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IFERROR(__xludf.DUMMYFUNCTION("IMPORTRANGE(""https://docs.google.com/spreadsheets/d/1eHaY18a8A9IcSdp1K8H6x8fbOy06t2VsZHhMHf-1x7Y/edit?usp=sharing"",""แผน!AR14"")"),2500)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IFERROR(__xludf.DUMMYFUNCTION("IMPORTRANGE(""https://docs.google.com/spreadsheets/d/1eHaY18a8A9IcSdp1K8H6x8fbOy06t2VsZHhMHf-1x7Y/edit?usp=sharing"",""แผน!AS14"")"),6000)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IFERROR(__xludf.DUMMYFUNCTION("IMPORTRANGE(""https://docs.google.com/spreadsheets/d/1eHaY18a8A9IcSdp1K8H6x8fbOy06t2VsZHhMHf-1x7Y/edit?usp=sharing"",""แผน!AT14"")"),0)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IFERROR(__xludf.DUMMYFUNCTION("IMPORTRANGE(""https://docs.google.com/spreadsheets/d/1eHaY18a8A9IcSdp1K8H6x8fbOy06t2VsZHhMHf-1x7Y/edit?usp=sharing"",""แผน!AV14"")"),50000)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IFERROR(__xludf.DUMMYFUNCTION("IMPORTRANGE(""https://docs.google.com/spreadsheets/d/1eHaY18a8A9IcSdp1K8H6x8fbOy06t2VsZHhMHf-1x7Y/edit?usp=sharing"",""แผน!AV14"")"),50000)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IFERROR(__xludf.DUMMYFUNCTION("IMPORTRANGE(""https://docs.google.com/spreadsheets/d/1eHaY18a8A9IcSdp1K8H6x8fbOy06t2VsZHhMHf-1x7Y/edit?usp=sharing"",""แผน!AU14"")"),0)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743">
        <v>0</v>
      </c>
      <c r="R233" s="743">
        <v>0</v>
      </c>
      <c r="S233" s="743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743">
        <v>0</v>
      </c>
      <c r="R234" s="743">
        <v>0</v>
      </c>
      <c r="S234" s="743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743">
        <v>0</v>
      </c>
      <c r="R235" s="743">
        <v>0</v>
      </c>
      <c r="S235" s="743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743">
        <v>0</v>
      </c>
      <c r="R236" s="743">
        <v>0</v>
      </c>
      <c r="S236" s="743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IFERROR(__xludf.DUMMYFUNCTION("IMPORTRANGE(""https://docs.google.com/spreadsheets/d/1eHaY18a8A9IcSdp1K8H6x8fbOy06t2VsZHhMHf-1x7Y/edit?usp=sharing"",""แผน!AX14"")"),0)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IFERROR(__xludf.DUMMYFUNCTION("IMPORTRANGE(""https://docs.google.com/spreadsheets/d/1eHaY18a8A9IcSdp1K8H6x8fbOy06t2VsZHhMHf-1x7Y/edit?usp=sharing"",""แผน!AY14"")"),0)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IFERROR(__xludf.DUMMYFUNCTION("IMPORTRANGE(""https://docs.google.com/spreadsheets/d/1eHaY18a8A9IcSdp1K8H6x8fbOy06t2VsZHhMHf-1x7Y/edit?usp=sharing"",""แผน!AZ14"")"),0)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IFERROR(__xludf.DUMMYFUNCTION("IMPORTRANGE(""https://docs.google.com/spreadsheets/d/1eHaY18a8A9IcSdp1K8H6x8fbOy06t2VsZHhMHf-1x7Y/edit?usp=sharing"",""แผน!BA14"")"),0)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IFERROR(__xludf.DUMMYFUNCTION("IMPORTRANGE(""https://docs.google.com/spreadsheets/d/1eHaY18a8A9IcSdp1K8H6x8fbOy06t2VsZHhMHf-1x7Y/edit?usp=sharing"",""แผน!BG14"")"),0)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IFERROR(__xludf.DUMMYFUNCTION("IMPORTRANGE(""https://docs.google.com/spreadsheets/d/1eHaY18a8A9IcSdp1K8H6x8fbOy06t2VsZHhMHf-1x7Y/edit?usp=sharing"",""แผน!BB14"")"),0)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IFERROR(__xludf.DUMMYFUNCTION("IMPORTRANGE(""https://docs.google.com/spreadsheets/d/1eHaY18a8A9IcSdp1K8H6x8fbOy06t2VsZHhMHf-1x7Y/edit?usp=sharing"",""แผน!BC14"")"),0)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IFERROR(__xludf.DUMMYFUNCTION("IMPORTRANGE(""https://docs.google.com/spreadsheets/d/1eHaY18a8A9IcSdp1K8H6x8fbOy06t2VsZHhMHf-1x7Y/edit?usp=sharing"",""แผน!BD14"")"),0)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IFERROR(__xludf.DUMMYFUNCTION("IMPORTRANGE(""https://docs.google.com/spreadsheets/d/1eHaY18a8A9IcSdp1K8H6x8fbOy06t2VsZHhMHf-1x7Y/edit?usp=sharing"",""แผน!BE14"")"),0)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IFERROR(__xludf.DUMMYFUNCTION("IMPORTRANGE(""https://docs.google.com/spreadsheets/d/1eHaY18a8A9IcSdp1K8H6x8fbOy06t2VsZHhMHf-1x7Y/edit?usp=sharing"",""แผน!BH14"")"),0)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19100</v>
      </c>
      <c r="N266" s="715">
        <f ca="1">N267+N268</f>
        <v>5000</v>
      </c>
      <c r="O266" s="715">
        <f ca="1">IF(L266&gt;0,N266*100/L266,0)</f>
        <v>100</v>
      </c>
      <c r="P266" s="715">
        <f ca="1">IF(M266&gt;0,N266*100/M266,0)</f>
        <v>26.178010471204189</v>
      </c>
      <c r="Q266" s="715">
        <f ca="1">Q267+Q268</f>
        <v>50660</v>
      </c>
      <c r="R266" s="715">
        <f ca="1">R267+R268</f>
        <v>44000</v>
      </c>
      <c r="S266" s="715">
        <f ca="1">S267+S268</f>
        <v>44000</v>
      </c>
      <c r="T266" s="715">
        <f ca="1">IF(Q266&gt;0,S266*100/Q266,0)</f>
        <v>86.853533359652587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19100</v>
      </c>
      <c r="N268" s="558">
        <f ca="1">N271+N274</f>
        <v>5000</v>
      </c>
      <c r="O268" s="558">
        <f ca="1">IF(L268&gt;0,N268*100/L268,0)</f>
        <v>100</v>
      </c>
      <c r="P268" s="558">
        <f ca="1">IF(M268&gt;0,N268*100/M268,0)</f>
        <v>26.178010471204189</v>
      </c>
      <c r="Q268" s="558">
        <f ca="1">Q271+Q274</f>
        <v>50660</v>
      </c>
      <c r="R268" s="558">
        <f ca="1">R271+R274</f>
        <v>44000</v>
      </c>
      <c r="S268" s="558">
        <f ca="1">S271+S274</f>
        <v>44000</v>
      </c>
      <c r="T268" s="558">
        <f ca="1">IF(Q268&gt;0,S268*100/Q268,0)</f>
        <v>86.853533359652587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19100</v>
      </c>
      <c r="N269" s="558">
        <f ca="1">N270+N271</f>
        <v>5000</v>
      </c>
      <c r="O269" s="558">
        <f ca="1">IF(L269&gt;0,N269*100/L269,0)</f>
        <v>100</v>
      </c>
      <c r="P269" s="558">
        <f ca="1">IF(M269&gt;0,N269*100/M269,0)</f>
        <v>26.178010471204189</v>
      </c>
      <c r="Q269" s="558">
        <f ca="1">Q270+Q271</f>
        <v>50660</v>
      </c>
      <c r="R269" s="558">
        <f ca="1">R270+R271</f>
        <v>44000</v>
      </c>
      <c r="S269" s="558">
        <f ca="1">S270+S271</f>
        <v>44000</v>
      </c>
      <c r="T269" s="558">
        <f ca="1">IF(Q269&gt;0,S269*100/Q269,0)</f>
        <v>86.853533359652587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IFERROR(__xludf.DUMMYFUNCTION("IMPORTRANGE(""https://docs.google.com/spreadsheets/d/1-uDff_7J0KD5mKrp0Vvzr7lt3OU09vwQwhkpOPPYv2Y/edit?usp=sharing"",""งบพรบ!DE14"")"),5000)</f>
        <v>5000</v>
      </c>
      <c r="M271" s="558">
        <f ca="1">IFERROR(__xludf.DUMMYFUNCTION("IMPORTRANGE(""https://docs.google.com/spreadsheets/d/1-uDff_7J0KD5mKrp0Vvzr7lt3OU09vwQwhkpOPPYv2Y/edit?usp=sharing"",""งบพรบ!DJ14"")"),19100)</f>
        <v>19100</v>
      </c>
      <c r="N271" s="558">
        <f ca="1">IFERROR(__xludf.DUMMYFUNCTION("IMPORTRANGE(""https://docs.google.com/spreadsheets/d/1-uDff_7J0KD5mKrp0Vvzr7lt3OU09vwQwhkpOPPYv2Y/edit?usp=sharing"",""งบพรบ!DL14"")"),5000)</f>
        <v>5000</v>
      </c>
      <c r="O271" s="558">
        <f ca="1">IF(L271&gt;0,N271*100/L271,0)</f>
        <v>100</v>
      </c>
      <c r="P271" s="558">
        <f ca="1">IF(M271&gt;0,N271*100/M271,0)</f>
        <v>26.178010471204189</v>
      </c>
      <c r="Q271" s="558">
        <f ca="1">IFERROR(__xludf.DUMMYFUNCTION("IMPORTRANGE(""https://docs.google.com/spreadsheets/d/1ItG2mGa2ceCfYo0BwxsXqNm01IGEUdYcSSLTEv9YCik/edit?usp=sharing"",""เบิกจ่ายกองทุน!AP14"")"),50660)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IFERROR(__xludf.DUMMYFUNCTION("IMPORTRANGE(""https://docs.google.com/spreadsheets/d/1ItG2mGa2ceCfYo0BwxsXqNm01IGEUdYcSSLTEv9YCik/edit?usp=sharing"",""เบิกจ่ายกองทุน!AQ14"")"),44000)</f>
        <v>44000</v>
      </c>
      <c r="S271" s="558">
        <f ca="1">IFERROR(__xludf.DUMMYFUNCTION("IMPORTRANGE(""https://docs.google.com/spreadsheets/d/1ItG2mGa2ceCfYo0BwxsXqNm01IGEUdYcSSLTEv9YCik/edit?usp=sharing"",""เบิกจ่ายกองทุน!AR14"")"),44000)</f>
        <v>44000</v>
      </c>
      <c r="T271" s="558">
        <f ca="1">IF(Q271&gt;0,S271*100/Q271,0)</f>
        <v>86.853533359652587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IFERROR(__xludf.DUMMYFUNCTION("IMPORTRANGE(""https://docs.google.com/spreadsheets/d/1-uDff_7J0KD5mKrp0Vvzr7lt3OU09vwQwhkpOPPYv2Y/edit?usp=sharing"",""งบพรบ!DH14"")"),0)</f>
        <v>0</v>
      </c>
      <c r="M274" s="558">
        <f ca="1">IFERROR(__xludf.DUMMYFUNCTION("IMPORTRANGE(""https://docs.google.com/spreadsheets/d/1-uDff_7J0KD5mKrp0Vvzr7lt3OU09vwQwhkpOPPYv2Y/edit?usp=sharing"",""งบพรบ!DK14"")"),0)</f>
        <v>0</v>
      </c>
      <c r="N274" s="558">
        <f ca="1">IFERROR(__xludf.DUMMYFUNCTION("IMPORTRANGE(""https://docs.google.com/spreadsheets/d/1-uDff_7J0KD5mKrp0Vvzr7lt3OU09vwQwhkpOPPYv2Y/edit?usp=sharing"",""งบพรบ!DM14"")"),0)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IFERROR(__xludf.DUMMYFUNCTION("IMPORTRANGE(""https://docs.google.com/spreadsheets/d/1eHaY18a8A9IcSdp1K8H6x8fbOy06t2VsZHhMHf-1x7Y/edit?usp=sharing"",""แผน!EC14"")"),22)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50</v>
      </c>
      <c r="J280" s="697">
        <f>J293</f>
        <v>50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500</v>
      </c>
      <c r="J281" s="697">
        <f>J292</f>
        <v>500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243520</v>
      </c>
      <c r="M282" s="547">
        <f ca="1">M283+M284</f>
        <v>251180</v>
      </c>
      <c r="N282" s="547">
        <f ca="1">N283+N284</f>
        <v>220894</v>
      </c>
      <c r="O282" s="547">
        <f ca="1">IF(L282&gt;0,N282*100/L282,0)</f>
        <v>90.708771353482263</v>
      </c>
      <c r="P282" s="547">
        <f ca="1">IF(M282&gt;0,N282*100/M282,0)</f>
        <v>87.942511346444775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9.5" hidden="1" customHeight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243520</v>
      </c>
      <c r="M284" s="224">
        <f ca="1">M287+M290</f>
        <v>251180</v>
      </c>
      <c r="N284" s="224">
        <f ca="1">N287+N290</f>
        <v>220894</v>
      </c>
      <c r="O284" s="224">
        <f ca="1">IF(L284&gt;0,N284*100/L284,0)</f>
        <v>90.708771353482263</v>
      </c>
      <c r="P284" s="224">
        <f ca="1">IF(M284&gt;0,N284*100/M284,0)</f>
        <v>87.942511346444775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243520</v>
      </c>
      <c r="M285" s="224">
        <f ca="1">M286+M287</f>
        <v>251180</v>
      </c>
      <c r="N285" s="224">
        <f ca="1">N286+N287</f>
        <v>220894</v>
      </c>
      <c r="O285" s="224">
        <f ca="1">IF(L285&gt;0,N285*100/L285,0)</f>
        <v>90.708771353482263</v>
      </c>
      <c r="P285" s="224">
        <f ca="1">IF(M285&gt;0,N285*100/M285,0)</f>
        <v>87.942511346444775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IFERROR(__xludf.DUMMYFUNCTION("IMPORTRANGE(""https://docs.google.com/spreadsheets/d/1-uDff_7J0KD5mKrp0Vvzr7lt3OU09vwQwhkpOPPYv2Y/edit?usp=sharing"",""งบพรบ!DO14"")"),243520)</f>
        <v>243520</v>
      </c>
      <c r="M287" s="224">
        <f ca="1">IFERROR(__xludf.DUMMYFUNCTION("IMPORTRANGE(""https://docs.google.com/spreadsheets/d/1-uDff_7J0KD5mKrp0Vvzr7lt3OU09vwQwhkpOPPYv2Y/edit?usp=sharing"",""งบพรบ!DT14"")"),251180)</f>
        <v>251180</v>
      </c>
      <c r="N287" s="224">
        <f ca="1">IFERROR(__xludf.DUMMYFUNCTION("IMPORTRANGE(""https://docs.google.com/spreadsheets/d/1-uDff_7J0KD5mKrp0Vvzr7lt3OU09vwQwhkpOPPYv2Y/edit?usp=sharing"",""งบพรบ!DV14"")"),220894)</f>
        <v>220894</v>
      </c>
      <c r="O287" s="224">
        <f ca="1">IF(L287&gt;0,N287*100/L287,0)</f>
        <v>90.708771353482263</v>
      </c>
      <c r="P287" s="224">
        <f ca="1">IF(M287&gt;0,N287*100/M287,0)</f>
        <v>87.942511346444775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IFERROR(__xludf.DUMMYFUNCTION("IMPORTRANGE(""https://docs.google.com/spreadsheets/d/1-uDff_7J0KD5mKrp0Vvzr7lt3OU09vwQwhkpOPPYv2Y/edit?usp=sharing"",""งบพรบ!DR14"")"),0)</f>
        <v>0</v>
      </c>
      <c r="M290" s="224">
        <f ca="1">IFERROR(__xludf.DUMMYFUNCTION("IMPORTRANGE(""https://docs.google.com/spreadsheets/d/1-uDff_7J0KD5mKrp0Vvzr7lt3OU09vwQwhkpOPPYv2Y/edit?usp=sharing"",""งบพรบ!DU14"")"),0)</f>
        <v>0</v>
      </c>
      <c r="N290" s="224">
        <f ca="1">IFERROR(__xludf.DUMMYFUNCTION("IMPORTRANGE(""https://docs.google.com/spreadsheets/d/1-uDff_7J0KD5mKrp0Vvzr7lt3OU09vwQwhkpOPPYv2Y/edit?usp=sharing"",""งบพรบ!DW14"")"),0)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IFERROR(__xludf.DUMMYFUNCTION("IMPORTRANGE(""https://docs.google.com/spreadsheets/d/1eHaY18a8A9IcSdp1K8H6x8fbOy06t2VsZHhMHf-1x7Y/edit?usp=sharing"",""แผน!EE14"")"),500)</f>
        <v>500</v>
      </c>
      <c r="J292" s="380">
        <v>500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IFERROR(__xludf.DUMMYFUNCTION("IMPORTRANGE(""https://docs.google.com/spreadsheets/d/1eHaY18a8A9IcSdp1K8H6x8fbOy06t2VsZHhMHf-1x7Y/edit?usp=sharing"",""แผน!ED14"")"),50)</f>
        <v>50</v>
      </c>
      <c r="J293" s="338">
        <f>J296</f>
        <v>50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IFERROR(__xludf.DUMMYFUNCTION("IMPORTRANGE(""https://docs.google.com/spreadsheets/d/1eHaY18a8A9IcSdp1K8H6x8fbOy06t2VsZHhMHf-1x7Y/edit?usp=sharing"",""แผน!ED14"")"),50)</f>
        <v>50</v>
      </c>
      <c r="J295" s="380">
        <v>50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IFERROR(__xludf.DUMMYFUNCTION("IMPORTRANGE(""https://docs.google.com/spreadsheets/d/1eHaY18a8A9IcSdp1K8H6x8fbOy06t2VsZHhMHf-1x7Y/edit?usp=sharing"",""แผน!ED14"")"),50)</f>
        <v>50</v>
      </c>
      <c r="J296" s="380">
        <v>50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IFERROR(__xludf.DUMMYFUNCTION("IMPORTRANGE(""https://docs.google.com/spreadsheets/d/1eHaY18a8A9IcSdp1K8H6x8fbOy06t2VsZHhMHf-1x7Y/edit?usp=sharing"",""แผน!ED14"")"),50)</f>
        <v>50</v>
      </c>
      <c r="J298" s="380">
        <v>50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IFERROR(__xludf.DUMMYFUNCTION("IMPORTRANGE(""https://docs.google.com/spreadsheets/d/1eHaY18a8A9IcSdp1K8H6x8fbOy06t2VsZHhMHf-1x7Y/edit?usp=sharing"",""แผน!ED14"")"),50)</f>
        <v>50</v>
      </c>
      <c r="J299" s="380">
        <v>50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206100</v>
      </c>
      <c r="M303" s="547">
        <f ca="1">M304+M305</f>
        <v>206100</v>
      </c>
      <c r="N303" s="547">
        <f ca="1">N304+N305</f>
        <v>206100</v>
      </c>
      <c r="O303" s="547">
        <f ca="1">IF(L303&gt;0,N303*100/L303,0)</f>
        <v>100</v>
      </c>
      <c r="P303" s="547">
        <f ca="1">IF(M303&gt;0,N303*100/M303,0)</f>
        <v>100</v>
      </c>
      <c r="Q303" s="547">
        <f ca="1">Q304+Q305</f>
        <v>144609.24</v>
      </c>
      <c r="R303" s="547">
        <f ca="1">R304+R305</f>
        <v>108440</v>
      </c>
      <c r="S303" s="547">
        <f ca="1">S304+S305</f>
        <v>108440</v>
      </c>
      <c r="T303" s="547">
        <f ca="1">IF(Q303&gt;0,S303*100/Q303,0)</f>
        <v>74.98829258766591</v>
      </c>
      <c r="U303" s="547">
        <f ca="1">IF(R303&gt;0,S303*100/R303,0)</f>
        <v>100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206100</v>
      </c>
      <c r="M305" s="224">
        <f ca="1">M308+M311</f>
        <v>206100</v>
      </c>
      <c r="N305" s="224">
        <f ca="1">N308+N311</f>
        <v>206100</v>
      </c>
      <c r="O305" s="224">
        <f ca="1">IF(L305&gt;0,N305*100/L305,0)</f>
        <v>100</v>
      </c>
      <c r="P305" s="224">
        <f ca="1">IF(M305&gt;0,N305*100/M305,0)</f>
        <v>100</v>
      </c>
      <c r="Q305" s="224">
        <f ca="1">Q308+Q311</f>
        <v>144609.24</v>
      </c>
      <c r="R305" s="224">
        <f ca="1">R308+R311</f>
        <v>108440</v>
      </c>
      <c r="S305" s="224">
        <f ca="1">S308+S311</f>
        <v>108440</v>
      </c>
      <c r="T305" s="224">
        <f ca="1">IF(Q305&gt;0,S305*100/Q305,0)</f>
        <v>74.98829258766591</v>
      </c>
      <c r="U305" s="224">
        <f ca="1">IF(R305&gt;0,S305*100/R305,0)</f>
        <v>100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206100</v>
      </c>
      <c r="M306" s="224">
        <f ca="1">M307+M308</f>
        <v>206100</v>
      </c>
      <c r="N306" s="224">
        <f ca="1">N307+N308</f>
        <v>206100</v>
      </c>
      <c r="O306" s="224">
        <f ca="1">IF(L306&gt;0,N306*100/L306,0)</f>
        <v>100</v>
      </c>
      <c r="P306" s="224">
        <f ca="1">IF(M306&gt;0,N306*100/M306,0)</f>
        <v>100</v>
      </c>
      <c r="Q306" s="224">
        <f ca="1">Q307+Q308</f>
        <v>144609.24</v>
      </c>
      <c r="R306" s="224">
        <f ca="1">R307+R308</f>
        <v>108440</v>
      </c>
      <c r="S306" s="224">
        <f ca="1">S307+S308</f>
        <v>108440</v>
      </c>
      <c r="T306" s="224">
        <f ca="1">IF(Q306&gt;0,S306*100/Q306,0)</f>
        <v>74.98829258766591</v>
      </c>
      <c r="U306" s="224">
        <f ca="1">IF(R306&gt;0,S306*100/R306,0)</f>
        <v>100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IFERROR(__xludf.DUMMYFUNCTION("IMPORTRANGE(""https://docs.google.com/spreadsheets/d/1-uDff_7J0KD5mKrp0Vvzr7lt3OU09vwQwhkpOPPYv2Y/edit?usp=sharing"",""งบพรบ!DY14"")"),206100)</f>
        <v>206100</v>
      </c>
      <c r="M308" s="224">
        <f ca="1">IFERROR(__xludf.DUMMYFUNCTION("IMPORTRANGE(""https://docs.google.com/spreadsheets/d/1-uDff_7J0KD5mKrp0Vvzr7lt3OU09vwQwhkpOPPYv2Y/edit?usp=sharing"",""งบพรบ!ED14"")"),206100)</f>
        <v>206100</v>
      </c>
      <c r="N308" s="224">
        <f ca="1">IFERROR(__xludf.DUMMYFUNCTION("IMPORTRANGE(""https://docs.google.com/spreadsheets/d/1-uDff_7J0KD5mKrp0Vvzr7lt3OU09vwQwhkpOPPYv2Y/edit?usp=sharing"",""งบพรบ!EF14"")"),206100)</f>
        <v>206100</v>
      </c>
      <c r="O308" s="224">
        <f ca="1">IF(L308&gt;0,N308*100/L308,0)</f>
        <v>100</v>
      </c>
      <c r="P308" s="224">
        <f ca="1">IF(M308&gt;0,N308*100/M308,0)</f>
        <v>100</v>
      </c>
      <c r="Q308" s="224">
        <f ca="1">IFERROR(__xludf.DUMMYFUNCTION("IMPORTRANGE(""https://docs.google.com/spreadsheets/d/1ItG2mGa2ceCfYo0BwxsXqNm01IGEUdYcSSLTEv9YCik/edit?usp=sharing"",""เบิกจ่ายกองทุน!BB14"")"),144609.24)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IFERROR(__xludf.DUMMYFUNCTION("IMPORTRANGE(""https://docs.google.com/spreadsheets/d/1ItG2mGa2ceCfYo0BwxsXqNm01IGEUdYcSSLTEv9YCik/edit?usp=sharing"",""เบิกจ่ายกองทุน!BC14"")"),108440)</f>
        <v>108440</v>
      </c>
      <c r="S308" s="224">
        <f ca="1">IFERROR(__xludf.DUMMYFUNCTION("IMPORTRANGE(""https://docs.google.com/spreadsheets/d/1ItG2mGa2ceCfYo0BwxsXqNm01IGEUdYcSSLTEv9YCik/edit?usp=sharing"",""เบิกจ่ายกองทุน!BD14"")"),108440)</f>
        <v>108440</v>
      </c>
      <c r="T308" s="224">
        <f ca="1">IF(Q308&gt;0,S308*100/Q308,0)</f>
        <v>74.98829258766591</v>
      </c>
      <c r="U308" s="224">
        <f ca="1">IF(R308&gt;0,S308*100/R308,0)</f>
        <v>100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IFERROR(__xludf.DUMMYFUNCTION("IMPORTRANGE(""https://docs.google.com/spreadsheets/d/1-uDff_7J0KD5mKrp0Vvzr7lt3OU09vwQwhkpOPPYv2Y/edit?usp=sharing"",""งบพรบ!EB14"")"),0)</f>
        <v>0</v>
      </c>
      <c r="M311" s="224">
        <f ca="1">IFERROR(__xludf.DUMMYFUNCTION("IMPORTRANGE(""https://docs.google.com/spreadsheets/d/1-uDff_7J0KD5mKrp0Vvzr7lt3OU09vwQwhkpOPPYv2Y/edit?usp=sharing"",""งบพรบ!EE14"")"),0)</f>
        <v>0</v>
      </c>
      <c r="N311" s="224">
        <f ca="1">IFERROR(__xludf.DUMMYFUNCTION("IMPORTRANGE(""https://docs.google.com/spreadsheets/d/1-uDff_7J0KD5mKrp0Vvzr7lt3OU09vwQwhkpOPPYv2Y/edit?usp=sharing"",""งบพรบ!EG14"")"),0)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IFERROR(__xludf.DUMMYFUNCTION("IMPORTRANGE(""https://docs.google.com/spreadsheets/d/1eHaY18a8A9IcSdp1K8H6x8fbOy06t2VsZHhMHf-1x7Y/edit?usp=sharing"",""แผน!EF14"")"),20)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1</v>
      </c>
      <c r="K319" s="631">
        <f ca="1">IF(I319&gt;0,J319*100/I319,0)</f>
        <v>100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IFERROR(__xludf.DUMMYFUNCTION("IMPORTRANGE(""https://docs.google.com/spreadsheets/d/1-uDff_7J0KD5mKrp0Vvzr7lt3OU09vwQwhkpOPPYv2Y/edit?usp=sharing"",""งบพรบ!EI14"")"),0)</f>
        <v>0</v>
      </c>
      <c r="M325" s="224">
        <f ca="1">IFERROR(__xludf.DUMMYFUNCTION("IMPORTRANGE(""https://docs.google.com/spreadsheets/d/1-uDff_7J0KD5mKrp0Vvzr7lt3OU09vwQwhkpOPPYv2Y/edit?usp=sharing"",""งบพรบ!EN14"")"),0)</f>
        <v>0</v>
      </c>
      <c r="N325" s="224">
        <f ca="1">IFERROR(__xludf.DUMMYFUNCTION("IMPORTRANGE(""https://docs.google.com/spreadsheets/d/1-uDff_7J0KD5mKrp0Vvzr7lt3OU09vwQwhkpOPPYv2Y/edit?usp=sharing"",""งบพรบ!EP14"")"),0)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IFERROR(__xludf.DUMMYFUNCTION("IMPORTRANGE(""https://docs.google.com/spreadsheets/d/1-uDff_7J0KD5mKrp0Vvzr7lt3OU09vwQwhkpOPPYv2Y/edit?usp=sharing"",""งบพรบ!EL14"")"),0)</f>
        <v>0</v>
      </c>
      <c r="M328" s="224">
        <f ca="1">IFERROR(__xludf.DUMMYFUNCTION("IMPORTRANGE(""https://docs.google.com/spreadsheets/d/1-uDff_7J0KD5mKrp0Vvzr7lt3OU09vwQwhkpOPPYv2Y/edit?usp=sharing"",""งบพรบ!EO14"")"),0)</f>
        <v>0</v>
      </c>
      <c r="N328" s="224">
        <f ca="1">IFERROR(__xludf.DUMMYFUNCTION("IMPORTRANGE(""https://docs.google.com/spreadsheets/d/1-uDff_7J0KD5mKrp0Vvzr7lt3OU09vwQwhkpOPPYv2Y/edit?usp=sharing"",""งบพรบ!EQ14"")"),0)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IFERROR(__xludf.DUMMYFUNCTION("IMPORTRANGE(""https://docs.google.com/spreadsheets/d/1eHaY18a8A9IcSdp1K8H6x8fbOy06t2VsZHhMHf-1x7Y/edit?usp=sharing"",""แผน!EJ14"")"),1)</f>
        <v>1</v>
      </c>
      <c r="J330" s="380">
        <v>1</v>
      </c>
      <c r="K330" s="224">
        <f ca="1">IF(I330&gt;0,J330*100/I330,0)</f>
        <v>100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IFERROR(__xludf.DUMMYFUNCTION("IMPORTRANGE(""https://docs.google.com/spreadsheets/d/1eHaY18a8A9IcSdp1K8H6x8fbOy06t2VsZHhMHf-1x7Y/edit?usp=sharing"",""แผน!EK14"")"),7500)</f>
        <v>7500</v>
      </c>
      <c r="J332" s="300">
        <f ca="1">J344+J347+J348+J349+J353+J354</f>
        <v>9943</v>
      </c>
      <c r="K332" s="679">
        <f ca="1">IF(I332&gt;0,J332*100/I332,0)</f>
        <v>132.57333333333332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197000</v>
      </c>
      <c r="M333" s="547">
        <f ca="1">M334+M335</f>
        <v>197000</v>
      </c>
      <c r="N333" s="547">
        <f ca="1">N334+N335</f>
        <v>197000</v>
      </c>
      <c r="O333" s="547">
        <f ca="1">IF(L333&gt;0,N333*100/L333,0)</f>
        <v>100</v>
      </c>
      <c r="P333" s="547">
        <f ca="1">IF(M333&gt;0,N333*100/M333,0)</f>
        <v>100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197000</v>
      </c>
      <c r="M335" s="224">
        <f ca="1">M338+M341</f>
        <v>197000</v>
      </c>
      <c r="N335" s="224">
        <f ca="1">N338+N341</f>
        <v>197000</v>
      </c>
      <c r="O335" s="224">
        <f ca="1">IF(L335&gt;0,N335*100/L335,0)</f>
        <v>100</v>
      </c>
      <c r="P335" s="224">
        <f ca="1">IF(M335&gt;0,N335*100/M335,0)</f>
        <v>100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197000</v>
      </c>
      <c r="M336" s="224">
        <f ca="1">M337+M338</f>
        <v>197000</v>
      </c>
      <c r="N336" s="224">
        <f ca="1">N337+N338</f>
        <v>197000</v>
      </c>
      <c r="O336" s="224">
        <f ca="1">IF(L336&gt;0,N336*100/L336,0)</f>
        <v>100</v>
      </c>
      <c r="P336" s="224">
        <f ca="1">IF(M336&gt;0,N336*100/M336,0)</f>
        <v>100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IFERROR(__xludf.DUMMYFUNCTION("IMPORTRANGE(""https://docs.google.com/spreadsheets/d/1-uDff_7J0KD5mKrp0Vvzr7lt3OU09vwQwhkpOPPYv2Y/edit?usp=sharing"",""งบพรบ!ES14"")"),197000)</f>
        <v>197000</v>
      </c>
      <c r="M338" s="224">
        <f ca="1">IFERROR(__xludf.DUMMYFUNCTION("IMPORTRANGE(""https://docs.google.com/spreadsheets/d/1-uDff_7J0KD5mKrp0Vvzr7lt3OU09vwQwhkpOPPYv2Y/edit?usp=sharing"",""งบพรบ!EX14"")"),197000)</f>
        <v>197000</v>
      </c>
      <c r="N338" s="224">
        <f ca="1">IFERROR(__xludf.DUMMYFUNCTION("IMPORTRANGE(""https://docs.google.com/spreadsheets/d/1-uDff_7J0KD5mKrp0Vvzr7lt3OU09vwQwhkpOPPYv2Y/edit?usp=sharing"",""งบพรบ!EZ14"")"),197000)</f>
        <v>197000</v>
      </c>
      <c r="O338" s="224">
        <f ca="1">IF(L338&gt;0,N338*100/L338,0)</f>
        <v>100</v>
      </c>
      <c r="P338" s="224">
        <f ca="1">IF(M338&gt;0,N338*100/M338,0)</f>
        <v>100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IFERROR(__xludf.DUMMYFUNCTION("IMPORTRANGE(""https://docs.google.com/spreadsheets/d/1-uDff_7J0KD5mKrp0Vvzr7lt3OU09vwQwhkpOPPYv2Y/edit?usp=sharing"",""งบพรบ!EV14"")"),0)</f>
        <v>0</v>
      </c>
      <c r="M341" s="224">
        <f ca="1">IFERROR(__xludf.DUMMYFUNCTION("IMPORTRANGE(""https://docs.google.com/spreadsheets/d/1-uDff_7J0KD5mKrp0Vvzr7lt3OU09vwQwhkpOPPYv2Y/edit?usp=sharing"",""งบพรบ!EY14"")"),0)</f>
        <v>0</v>
      </c>
      <c r="N341" s="224">
        <f ca="1">IFERROR(__xludf.DUMMYFUNCTION("IMPORTRANGE(""https://docs.google.com/spreadsheets/d/1-uDff_7J0KD5mKrp0Vvzr7lt3OU09vwQwhkpOPPYv2Y/edit?usp=sharing"",""งบพรบ!FA14"")"),0)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6421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IFERROR(__xludf.DUMMYFUNCTION("IMPORTRANGE(""https://docs.google.com/spreadsheets/d/1awYsYK3VOup2i3Pq_Yjnu8DRu_mYwSBnCR2QPthd0rU/edit?usp=sharing"",""ศูนย์ยกเว้นโฉนด!D14"")"),6414)</f>
        <v>6414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IFERROR(__xludf.DUMMYFUNCTION("IMPORTRANGE(""https://docs.google.com/spreadsheets/d/1eHaY18a8A9IcSdp1K8H6x8fbOy06t2VsZHhMHf-1x7Y/edit?usp=sharing"",""แผน!EL14"")"),7)</f>
        <v>7</v>
      </c>
      <c r="J346" s="184">
        <f ca="1">IFERROR(__xludf.DUMMYFUNCTION("IMPORTRANGE(""https://docs.google.com/spreadsheets/d/1awYsYK3VOup2i3Pq_Yjnu8DRu_mYwSBnCR2QPthd0rU/edit?usp=sharing"",""ศูนย์รวม!E14"")"),17)</f>
        <v>17</v>
      </c>
      <c r="K346" s="224">
        <f ca="1">IF(I346&gt;0,J346*100/I346,0)</f>
        <v>242.85714285714286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IFERROR(__xludf.DUMMYFUNCTION("IMPORTRANGE(""https://docs.google.com/spreadsheets/d/1awYsYK3VOup2i3Pq_Yjnu8DRu_mYwSBnCR2QPthd0rU/edit?usp=sharing"",""ศูนย์ยกเว้นโฉนด!F14"")"),0)</f>
        <v>0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IFERROR(__xludf.DUMMYFUNCTION("IMPORTRANGE(""https://docs.google.com/spreadsheets/d/1awYsYK3VOup2i3Pq_Yjnu8DRu_mYwSBnCR2QPthd0rU/edit?usp=sharing"",""ศูนย์ยกเว้นโฉนด!G14"")"),7)</f>
        <v>7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IFERROR(__xludf.DUMMYFUNCTION("IMPORTRANGE(""https://docs.google.com/spreadsheets/d/1awYsYK3VOup2i3Pq_Yjnu8DRu_mYwSBnCR2QPthd0rU/edit?usp=sharing"",""ศูนย์ยกเว้นโฉนด!H14"")"),0)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3522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IFERROR(__xludf.DUMMYFUNCTION("IMPORTRANGE(""https://docs.google.com/spreadsheets/d/1awYsYK3VOup2i3Pq_Yjnu8DRu_mYwSBnCR2QPthd0rU/edit?usp=sharing"",""โฉนดM3!G14"")"),5451)</f>
        <v>5451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IFERROR(__xludf.DUMMYFUNCTION("IMPORTRANGE(""https://docs.google.com/spreadsheets/d/1awYsYK3VOup2i3Pq_Yjnu8DRu_mYwSBnCR2QPthd0rU/edit?usp=sharing"",""โฉนดM3!H14"")"),2901)</f>
        <v>2901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IFERROR(__xludf.DUMMYFUNCTION("IMPORTRANGE(""https://docs.google.com/spreadsheets/d/1awYsYK3VOup2i3Pq_Yjnu8DRu_mYwSBnCR2QPthd0rU/edit?usp=sharing"",""โฉนดM3!I14"")"),621)</f>
        <v>621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887480</v>
      </c>
      <c r="M356" s="547">
        <f ca="1">M357+M358</f>
        <v>1055480</v>
      </c>
      <c r="N356" s="547">
        <f ca="1">N357+N358</f>
        <v>894345.83</v>
      </c>
      <c r="O356" s="547">
        <f ca="1">IF(L356&gt;0,N356*100/L356,0)</f>
        <v>100.77363208184973</v>
      </c>
      <c r="P356" s="547">
        <f ca="1">IF(M356&gt;0,N356*100/M356,0)</f>
        <v>84.733564823587372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887480</v>
      </c>
      <c r="M358" s="224">
        <f ca="1">M361+M364</f>
        <v>1055480</v>
      </c>
      <c r="N358" s="224">
        <f ca="1">N361+N364</f>
        <v>894345.83</v>
      </c>
      <c r="O358" s="224">
        <f ca="1">IF(L358&gt;0,N358*100/L358,0)</f>
        <v>100.77363208184973</v>
      </c>
      <c r="P358" s="224">
        <f ca="1">IF(M358&gt;0,N358*100/M358,0)</f>
        <v>84.733564823587372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887480</v>
      </c>
      <c r="M359" s="224">
        <f ca="1">M360+M361</f>
        <v>1055480</v>
      </c>
      <c r="N359" s="224">
        <f ca="1">N360+N361</f>
        <v>894345.83</v>
      </c>
      <c r="O359" s="224">
        <f ca="1">IF(L359&gt;0,N359*100/L359,0)</f>
        <v>100.77363208184973</v>
      </c>
      <c r="P359" s="224">
        <f ca="1">IF(M359&gt;0,N359*100/M359,0)</f>
        <v>84.733564823587372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IFERROR(__xludf.DUMMYFUNCTION("IMPORTRANGE(""https://docs.google.com/spreadsheets/d/1-uDff_7J0KD5mKrp0Vvzr7lt3OU09vwQwhkpOPPYv2Y/edit?usp=sharing"",""งบพรบ!FC14"")"),887480)</f>
        <v>887480</v>
      </c>
      <c r="M361" s="224">
        <f ca="1">IFERROR(__xludf.DUMMYFUNCTION("IMPORTRANGE(""https://docs.google.com/spreadsheets/d/1-uDff_7J0KD5mKrp0Vvzr7lt3OU09vwQwhkpOPPYv2Y/edit?usp=sharing"",""งบพรบ!FH14"")"),1055480)</f>
        <v>1055480</v>
      </c>
      <c r="N361" s="224">
        <f ca="1">IFERROR(__xludf.DUMMYFUNCTION("IMPORTRANGE(""https://docs.google.com/spreadsheets/d/1-uDff_7J0KD5mKrp0Vvzr7lt3OU09vwQwhkpOPPYv2Y/edit?usp=sharing"",""งบพรบ!FJ14"")"),894345.83)</f>
        <v>894345.83</v>
      </c>
      <c r="O361" s="224">
        <f ca="1">IF(L361&gt;0,N361*100/L361,0)</f>
        <v>100.77363208184973</v>
      </c>
      <c r="P361" s="224">
        <f ca="1">IF(M361&gt;0,N361*100/M361,0)</f>
        <v>84.733564823587372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IFERROR(__xludf.DUMMYFUNCTION("IMPORTRANGE(""https://docs.google.com/spreadsheets/d/1-uDff_7J0KD5mKrp0Vvzr7lt3OU09vwQwhkpOPPYv2Y/edit?usp=sharing"",""งบพรบ!FF14"")"),0)</f>
        <v>0</v>
      </c>
      <c r="M364" s="224">
        <f ca="1">IFERROR(__xludf.DUMMYFUNCTION("IMPORTRANGE(""https://docs.google.com/spreadsheets/d/1-uDff_7J0KD5mKrp0Vvzr7lt3OU09vwQwhkpOPPYv2Y/edit?usp=sharing"",""งบพรบ!FI14"")"),0)</f>
        <v>0</v>
      </c>
      <c r="N364" s="224">
        <f ca="1">IFERROR(__xludf.DUMMYFUNCTION("IMPORTRANGE(""https://docs.google.com/spreadsheets/d/1-uDff_7J0KD5mKrp0Vvzr7lt3OU09vwQwhkpOPPYv2Y/edit?usp=sharing"",""งบพรบ!FK14"")"),0)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615</v>
      </c>
      <c r="J365" s="302">
        <f ca="1">J371</f>
        <v>776</v>
      </c>
      <c r="K365" s="303">
        <f ca="1">IF(I365&gt;0,J365*100/I365,0)</f>
        <v>126.17886178861788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IFERROR(__xludf.DUMMYFUNCTION("IMPORTRANGE(""https://docs.google.com/spreadsheets/d/1tdoBKaGub7dwA3U6UFTqxio9LNnvDCQjHKmttSEBsFQ/edit?usp=sharing"",""จัดที่ดิน!AB14"")"),261)</f>
        <v>261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IFERROR(__xludf.DUMMYFUNCTION("IMPORTRANGE(""https://docs.google.com/spreadsheets/d/1eHaY18a8A9IcSdp1K8H6x8fbOy06t2VsZHhMHf-1x7Y/edit?usp=sharing"",""แผน!EW14"")"),2200)</f>
        <v>2200</v>
      </c>
      <c r="J368" s="668">
        <f ca="1">IFERROR(__xludf.DUMMYFUNCTION("IMPORTRANGE(""https://docs.google.com/spreadsheets/d/1tdoBKaGub7dwA3U6UFTqxio9LNnvDCQjHKmttSEBsFQ/edit?usp=sharing"",""จัดที่ดิน!AC14"")"),2541.25)</f>
        <v>2541.25</v>
      </c>
      <c r="K368" s="224">
        <f ca="1">IF(I368&gt;0,J368*100/I368,0)</f>
        <v>115.51136363636364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IFERROR(__xludf.DUMMYFUNCTION("IMPORTRANGE(""https://docs.google.com/spreadsheets/d/1eHaY18a8A9IcSdp1K8H6x8fbOy06t2VsZHhMHf-1x7Y/edit?usp=sharing"",""แผน!EX14"")"),615)</f>
        <v>615</v>
      </c>
      <c r="J369" s="184">
        <f ca="1">IFERROR(__xludf.DUMMYFUNCTION("IMPORTRANGE(""https://docs.google.com/spreadsheets/d/1tdoBKaGub7dwA3U6UFTqxio9LNnvDCQjHKmttSEBsFQ/edit?usp=sharing"",""จัดที่ดิน!AD14"")"),783)</f>
        <v>783</v>
      </c>
      <c r="K369" s="224">
        <f ca="1">IF(I369&gt;0,J369*100/I369,0)</f>
        <v>127.3170731707317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IFERROR(__xludf.DUMMYFUNCTION("IMPORTRANGE(""https://docs.google.com/spreadsheets/d/1tdoBKaGub7dwA3U6UFTqxio9LNnvDCQjHKmttSEBsFQ/edit?usp=sharing"",""จัดที่ดิน!AE14"")"),11547.52)</f>
        <v>11547.52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IFERROR(__xludf.DUMMYFUNCTION("IMPORTRANGE(""https://docs.google.com/spreadsheets/d/1eHaY18a8A9IcSdp1K8H6x8fbOy06t2VsZHhMHf-1x7Y/edit?usp=sharing"",""แผน!EY14"")"),615)</f>
        <v>615</v>
      </c>
      <c r="J371" s="184">
        <f ca="1">IFERROR(__xludf.DUMMYFUNCTION("IMPORTRANGE(""https://docs.google.com/spreadsheets/d/1tdoBKaGub7dwA3U6UFTqxio9LNnvDCQjHKmttSEBsFQ/edit?usp=sharing"",""จัดที่ดิน!AF14"")"),776)</f>
        <v>776</v>
      </c>
      <c r="K371" s="224">
        <f ca="1">IF(I371&gt;0,J371*100/I371,0)</f>
        <v>126.17886178861788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IFERROR(__xludf.DUMMYFUNCTION("IMPORTRANGE(""https://docs.google.com/spreadsheets/d/1tdoBKaGub7dwA3U6UFTqxio9LNnvDCQjHKmttSEBsFQ/edit?usp=sharing"",""จัดที่ดิน!AG14"")"),11442.74)</f>
        <v>11442.74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10000</v>
      </c>
      <c r="J374" s="660">
        <f ca="1">J386+J388</f>
        <v>8003</v>
      </c>
      <c r="K374" s="659">
        <f ca="1">IF(I374&gt;0,J374*100/I374,0)</f>
        <v>80.03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625000</v>
      </c>
      <c r="R375" s="547">
        <f ca="1">R376+R377</f>
        <v>500000</v>
      </c>
      <c r="S375" s="547">
        <f ca="1">S376+S377</f>
        <v>373570</v>
      </c>
      <c r="T375" s="547">
        <f ca="1">IF(Q375&gt;0,S375*100/Q375,0)</f>
        <v>59.7712</v>
      </c>
      <c r="U375" s="547">
        <f ca="1">IF(R375&gt;0,S375*100/R375,0)</f>
        <v>74.713999999999999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625000</v>
      </c>
      <c r="R377" s="224">
        <f ca="1">R380+R383</f>
        <v>500000</v>
      </c>
      <c r="S377" s="224">
        <f ca="1">S380+S383</f>
        <v>373570</v>
      </c>
      <c r="T377" s="224">
        <f ca="1">IF(Q377&gt;0,S377*100/Q377,0)</f>
        <v>59.7712</v>
      </c>
      <c r="U377" s="224">
        <f ca="1">IF(R377&gt;0,S377*100/R377,0)</f>
        <v>74.713999999999999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625000</v>
      </c>
      <c r="R378" s="224">
        <f ca="1">R379+R380</f>
        <v>500000</v>
      </c>
      <c r="S378" s="224">
        <f ca="1">S379+S380</f>
        <v>373570</v>
      </c>
      <c r="T378" s="224">
        <f ca="1">IF(Q378&gt;0,S378*100/Q378,0)</f>
        <v>59.7712</v>
      </c>
      <c r="U378" s="224">
        <f ca="1">IF(R378&gt;0,S378*100/R378,0)</f>
        <v>74.713999999999999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IFERROR(__xludf.DUMMYFUNCTION("IMPORTRANGE(""https://docs.google.com/spreadsheets/d/1-uDff_7J0KD5mKrp0Vvzr7lt3OU09vwQwhkpOPPYv2Y/edit?usp=sharing"",""งบพรบ!IE14"")"),0)</f>
        <v>0</v>
      </c>
      <c r="M380" s="224">
        <f ca="1">IFERROR(__xludf.DUMMYFUNCTION("IMPORTRANGE(""https://docs.google.com/spreadsheets/d/1-uDff_7J0KD5mKrp0Vvzr7lt3OU09vwQwhkpOPPYv2Y/edit?usp=sharing"",""งบพรบ!IJ14"")"),0)</f>
        <v>0</v>
      </c>
      <c r="N380" s="224">
        <f ca="1">IFERROR(__xludf.DUMMYFUNCTION("IMPORTRANGE(""https://docs.google.com/spreadsheets/d/1-uDff_7J0KD5mKrp0Vvzr7lt3OU09vwQwhkpOPPYv2Y/edit?usp=sharing"",""งบพรบ!IL14"")"),0)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IFERROR(__xludf.DUMMYFUNCTION("IMPORTRANGE(""https://docs.google.com/spreadsheets/d/1ItG2mGa2ceCfYo0BwxsXqNm01IGEUdYcSSLTEv9YCik/edit?usp=sharing"",""เบิกจ่ายกองทุน!BW14"")"),625000)</f>
        <v>625000</v>
      </c>
      <c r="R380" s="224">
        <f ca="1">IFERROR(__xludf.DUMMYFUNCTION("IMPORTRANGE(""https://docs.google.com/spreadsheets/d/1ItG2mGa2ceCfYo0BwxsXqNm01IGEUdYcSSLTEv9YCik/edit?usp=sharing"",""เบิกจ่ายกองทุน!BX14"")"),500000)</f>
        <v>500000</v>
      </c>
      <c r="S380" s="224">
        <f ca="1">IFERROR(__xludf.DUMMYFUNCTION("IMPORTRANGE(""https://docs.google.com/spreadsheets/d/1ItG2mGa2ceCfYo0BwxsXqNm01IGEUdYcSSLTEv9YCik/edit?usp=sharing"",""เบิกจ่ายกองทุน!BY14"")"),373570)</f>
        <v>373570</v>
      </c>
      <c r="T380" s="224">
        <f ca="1">IF(Q380&gt;0,S380*100/Q380,0)</f>
        <v>59.7712</v>
      </c>
      <c r="U380" s="224">
        <f ca="1">IF(R380&gt;0,S380*100/R380,0)</f>
        <v>74.713999999999999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IFERROR(__xludf.DUMMYFUNCTION("IMPORTRANGE(""https://docs.google.com/spreadsheets/d/1-uDff_7J0KD5mKrp0Vvzr7lt3OU09vwQwhkpOPPYv2Y/edit?usp=sharing"",""งบพรบ!IH14"")"),0)</f>
        <v>0</v>
      </c>
      <c r="M383" s="224">
        <f ca="1">IFERROR(__xludf.DUMMYFUNCTION("IMPORTRANGE(""https://docs.google.com/spreadsheets/d/1-uDff_7J0KD5mKrp0Vvzr7lt3OU09vwQwhkpOPPYv2Y/edit?usp=sharing"",""งบพรบ!IK14"")"),0)</f>
        <v>0</v>
      </c>
      <c r="N383" s="224">
        <f ca="1">IFERROR(__xludf.DUMMYFUNCTION("IMPORTRANGE(""https://docs.google.com/spreadsheets/d/1-uDff_7J0KD5mKrp0Vvzr7lt3OU09vwQwhkpOPPYv2Y/edit?usp=sharing"",""งบพรบ!IM14"")"),0)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IFERROR(__xludf.DUMMYFUNCTION("IMPORTRANGE(""https://docs.google.com/spreadsheets/d/1w5rwWK1o49a35cNtocGL0gxDwhFSTZUQu90BiH9_zqM/edit?usp=sharing"",""RTK!H14"")"),623)</f>
        <v>623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IFERROR(__xludf.DUMMYFUNCTION("IMPORTRANGE(""https://docs.google.com/spreadsheets/d/1w5rwWK1o49a35cNtocGL0gxDwhFSTZUQu90BiH9_zqM/edit?usp=sharing"",""RTK!G14"")"),10000)</f>
        <v>10000</v>
      </c>
      <c r="J386" s="184">
        <f ca="1">IFERROR(__xludf.DUMMYFUNCTION("IMPORTRANGE(""https://docs.google.com/spreadsheets/d/1w5rwWK1o49a35cNtocGL0gxDwhFSTZUQu90BiH9_zqM/edit?usp=sharing"",""RTK!I14"")"),8003)</f>
        <v>8003</v>
      </c>
      <c r="K386" s="224">
        <f ca="1">IF(I386&gt;0,J386*100/I386,0)</f>
        <v>80.03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IFERROR(__xludf.DUMMYFUNCTION("IMPORTRANGE(""https://docs.google.com/spreadsheets/d/1w5rwWK1o49a35cNtocGL0gxDwhFSTZUQu90BiH9_zqM/edit?usp=sharing"",""RTK!L14"")"),0)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IFERROR(__xludf.DUMMYFUNCTION("IMPORTRANGE(""https://docs.google.com/spreadsheets/d/1w5rwWK1o49a35cNtocGL0gxDwhFSTZUQu90BiH9_zqM/edit?usp=sharing"",""RTK!K14"")"),0)</f>
        <v>0</v>
      </c>
      <c r="J388" s="559">
        <f ca="1">IFERROR(__xludf.DUMMYFUNCTION("IMPORTRANGE(""https://docs.google.com/spreadsheets/d/1w5rwWK1o49a35cNtocGL0gxDwhFSTZUQu90BiH9_zqM/edit?usp=sharing"",""RTK!M14"")"),0)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IFERROR(__xludf.DUMMYFUNCTION("IMPORTRANGE(""https://docs.google.com/spreadsheets/d/1ItG2mGa2ceCfYo0BwxsXqNm01IGEUdYcSSLTEv9YCik/edit?usp=sharing"",""เบิกจ่ายกองทุน!CL14"")"),0)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IFERROR(__xludf.DUMMYFUNCTION("IMPORTRANGE(""https://docs.google.com/spreadsheets/d/1ItG2mGa2ceCfYo0BwxsXqNm01IGEUdYcSSLTEv9YCik/edit?usp=sharing"",""เบิกจ่ายกองทุน!CM14"")"),0)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IFERROR(__xludf.DUMMYFUNCTION("IMPORTRANGE(""https://docs.google.com/spreadsheets/d/1ItG2mGa2ceCfYo0BwxsXqNm01IGEUdYcSSLTEv9YCik/edit?usp=sharing"",""เบิกจ่ายกองทุน!CN14"")"),0)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145464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656" t="s">
        <v>19</v>
      </c>
      <c r="E413" s="526"/>
      <c r="F413" s="526"/>
      <c r="G413" s="527"/>
      <c r="H413" s="331" t="s">
        <v>14</v>
      </c>
      <c r="I413" s="44"/>
      <c r="J413" s="44"/>
      <c r="K413" s="45"/>
      <c r="L413" s="548">
        <f ca="1">L414+L415</f>
        <v>716050</v>
      </c>
      <c r="M413" s="547">
        <f ca="1">M414+M415</f>
        <v>716050</v>
      </c>
      <c r="N413" s="547">
        <f ca="1">N414+N415</f>
        <v>273360</v>
      </c>
      <c r="O413" s="547">
        <f ca="1">IF(L413&gt;0,N413*100/L413,0)</f>
        <v>38.176105020599117</v>
      </c>
      <c r="P413" s="547">
        <f ca="1">IF(M413&gt;0,N413*100/M413,0)</f>
        <v>38.176105020599117</v>
      </c>
      <c r="Q413" s="547">
        <f ca="1">Q414+Q415</f>
        <v>92610</v>
      </c>
      <c r="R413" s="547">
        <f ca="1">R414+R415</f>
        <v>92610</v>
      </c>
      <c r="S413" s="547">
        <f ca="1">S414+S415</f>
        <v>13500</v>
      </c>
      <c r="T413" s="547">
        <f ca="1">IF(Q413&gt;0,S413*100/Q413,0)</f>
        <v>14.577259475218659</v>
      </c>
      <c r="U413" s="547">
        <f ca="1">IF(R413&gt;0,S413*100/R413,0)</f>
        <v>14.577259475218659</v>
      </c>
    </row>
    <row r="414" spans="1:21" ht="18.75" hidden="1" x14ac:dyDescent="0.25">
      <c r="A414" s="128"/>
      <c r="B414" s="158"/>
      <c r="C414" s="158"/>
      <c r="D414" s="158"/>
      <c r="E414" s="322" t="s">
        <v>162</v>
      </c>
      <c r="F414" s="158"/>
      <c r="G414" s="180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716050</v>
      </c>
      <c r="M415" s="224">
        <f ca="1">M418+M421</f>
        <v>716050</v>
      </c>
      <c r="N415" s="224">
        <f ca="1">N418+N421</f>
        <v>273360</v>
      </c>
      <c r="O415" s="224">
        <f ca="1">IF(L415&gt;0,N415*100/L415,0)</f>
        <v>38.176105020599117</v>
      </c>
      <c r="P415" s="224">
        <f ca="1">IF(M415&gt;0,N415*100/M415,0)</f>
        <v>38.176105020599117</v>
      </c>
      <c r="Q415" s="224">
        <f ca="1">Q418+Q421</f>
        <v>92610</v>
      </c>
      <c r="R415" s="224">
        <f ca="1">R418+R421</f>
        <v>92610</v>
      </c>
      <c r="S415" s="224">
        <f ca="1">S418+S421</f>
        <v>13500</v>
      </c>
      <c r="T415" s="224">
        <f ca="1">IF(Q415&gt;0,S415*100/Q415,0)</f>
        <v>14.577259475218659</v>
      </c>
      <c r="U415" s="224">
        <f ca="1">IF(R415&gt;0,S415*100/R415,0)</f>
        <v>14.577259475218659</v>
      </c>
    </row>
    <row r="416" spans="1:21" ht="18.75" x14ac:dyDescent="0.25">
      <c r="A416" s="128"/>
      <c r="B416" s="158"/>
      <c r="C416" s="158"/>
      <c r="D416" s="655" t="s">
        <v>22</v>
      </c>
      <c r="E416" s="308"/>
      <c r="F416" s="308"/>
      <c r="G416" s="333"/>
      <c r="H416" s="175" t="s">
        <v>14</v>
      </c>
      <c r="I416" s="44"/>
      <c r="J416" s="44"/>
      <c r="K416" s="45"/>
      <c r="L416" s="545">
        <f ca="1">L417+L418</f>
        <v>716050</v>
      </c>
      <c r="M416" s="224">
        <f ca="1">M417+M418</f>
        <v>716050</v>
      </c>
      <c r="N416" s="224">
        <f ca="1">N417+N418</f>
        <v>273360</v>
      </c>
      <c r="O416" s="224">
        <f ca="1">IF(L416&gt;0,N416*100/L416,0)</f>
        <v>38.176105020599117</v>
      </c>
      <c r="P416" s="224">
        <f ca="1">IF(M416&gt;0,N416*100/M416,0)</f>
        <v>38.176105020599117</v>
      </c>
      <c r="Q416" s="224">
        <f ca="1">Q417+Q418</f>
        <v>92610</v>
      </c>
      <c r="R416" s="224">
        <f ca="1">R417+R418</f>
        <v>92610</v>
      </c>
      <c r="S416" s="224">
        <f ca="1">S417+S418</f>
        <v>13500</v>
      </c>
      <c r="T416" s="224">
        <f ca="1">IF(Q416&gt;0,S416*100/Q416,0)</f>
        <v>14.577259475218659</v>
      </c>
      <c r="U416" s="224">
        <f ca="1">IF(R416&gt;0,S416*100/R416,0)</f>
        <v>14.577259475218659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IFERROR(__xludf.DUMMYFUNCTION("IMPORTRANGE(""https://docs.google.com/spreadsheets/d/1-uDff_7J0KD5mKrp0Vvzr7lt3OU09vwQwhkpOPPYv2Y/edit?usp=sharing"",""งบพรบ!IO14"")"),716050)</f>
        <v>716050</v>
      </c>
      <c r="M418" s="224">
        <f ca="1">IFERROR(__xludf.DUMMYFUNCTION("IMPORTRANGE(""https://docs.google.com/spreadsheets/d/1-uDff_7J0KD5mKrp0Vvzr7lt3OU09vwQwhkpOPPYv2Y/edit?usp=sharing"",""งบพรบ!IT14"")"),716050)</f>
        <v>716050</v>
      </c>
      <c r="N418" s="224">
        <f ca="1">IFERROR(__xludf.DUMMYFUNCTION("IMPORTRANGE(""https://docs.google.com/spreadsheets/d/1-uDff_7J0KD5mKrp0Vvzr7lt3OU09vwQwhkpOPPYv2Y/edit?usp=sharing"",""งบพรบ!IV14"")"),273360)</f>
        <v>273360</v>
      </c>
      <c r="O418" s="224">
        <f ca="1">IF(L418&gt;0,N418*100/L418,0)</f>
        <v>38.176105020599117</v>
      </c>
      <c r="P418" s="224">
        <f ca="1">IF(M418&gt;0,N418*100/M418,0)</f>
        <v>38.176105020599117</v>
      </c>
      <c r="Q418" s="224">
        <f ca="1">IFERROR(__xludf.DUMMYFUNCTION("IMPORTRANGE(""https://docs.google.com/spreadsheets/d/1ItG2mGa2ceCfYo0BwxsXqNm01IGEUdYcSSLTEv9YCik/edit?usp=sharing"",""เบิกจ่ายกองทุน!BZ14"")"),92610)</f>
        <v>92610</v>
      </c>
      <c r="R418" s="224">
        <f ca="1">IFERROR(__xludf.DUMMYFUNCTION("IMPORTRANGE(""https://docs.google.com/spreadsheets/d/1ItG2mGa2ceCfYo0BwxsXqNm01IGEUdYcSSLTEv9YCik/edit?usp=sharing"",""เบิกจ่ายกองทุน!CA14"")"),92610)</f>
        <v>92610</v>
      </c>
      <c r="S418" s="224">
        <f ca="1">IFERROR(__xludf.DUMMYFUNCTION("IMPORTRANGE(""https://docs.google.com/spreadsheets/d/1ItG2mGa2ceCfYo0BwxsXqNm01IGEUdYcSSLTEv9YCik/edit?usp=sharing"",""เบิกจ่ายกองทุน!CB14"")"),13500)</f>
        <v>13500</v>
      </c>
      <c r="T418" s="224">
        <f ca="1">IF(Q418&gt;0,S418*100/Q418,0)</f>
        <v>14.577259475218659</v>
      </c>
      <c r="U418" s="224">
        <f ca="1">IF(R418&gt;0,S418*100/R418,0)</f>
        <v>14.577259475218659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IFERROR(__xludf.DUMMYFUNCTION("IMPORTRANGE(""https://docs.google.com/spreadsheets/d/1-uDff_7J0KD5mKrp0Vvzr7lt3OU09vwQwhkpOPPYv2Y/edit?usp=sharing"",""งบพรบ!IR14"")"),0)</f>
        <v>0</v>
      </c>
      <c r="M421" s="224">
        <f ca="1">IFERROR(__xludf.DUMMYFUNCTION("IMPORTRANGE(""https://docs.google.com/spreadsheets/d/1-uDff_7J0KD5mKrp0Vvzr7lt3OU09vwQwhkpOPPYv2Y/edit?usp=sharing"",""งบพรบ!IU14"")"),0)</f>
        <v>0</v>
      </c>
      <c r="N421" s="224">
        <f ca="1">IFERROR(__xludf.DUMMYFUNCTION("IMPORTRANGE(""https://docs.google.com/spreadsheets/d/1-uDff_7J0KD5mKrp0Vvzr7lt3OU09vwQwhkpOPPYv2Y/edit?usp=sharing"",""งบพรบ!IW14"")"),0)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145464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IFERROR(__xludf.DUMMYFUNCTION("IMPORTRANGE(""https://docs.google.com/spreadsheets/d/1eHaY18a8A9IcSdp1K8H6x8fbOy06t2VsZHhMHf-1x7Y/edit?usp=sharing"",""แผน!HJ14"")"),145464)</f>
        <v>145464</v>
      </c>
      <c r="J424" s="650">
        <f>J426+J428+J430</f>
        <v>145465.47500000001</v>
      </c>
      <c r="K424" s="547">
        <f ca="1">IF(I424&gt;0,J424*100/I424,0)</f>
        <v>100.00101399659022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IFERROR(__xludf.DUMMYFUNCTION("IMPORTRANGE(""https://docs.google.com/spreadsheets/d/1eHaY18a8A9IcSdp1K8H6x8fbOy06t2VsZHhMHf-1x7Y/edit?usp=sharing"",""แผน!HK14"")"),13261)</f>
        <v>13261</v>
      </c>
      <c r="J425" s="650">
        <f>J427+J429+J431</f>
        <v>13261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119776.6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11165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17388.075000000001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1267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8300.7999999999993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829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IFERROR(__xludf.DUMMYFUNCTION("IMPORTRANGE(""https://docs.google.com/spreadsheets/d/1eHaY18a8A9IcSdp1K8H6x8fbOy06t2VsZHhMHf-1x7Y/edit?usp=sharing"",""แผน!HJ14"")"),145464)</f>
        <v>145464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IFERROR(__xludf.DUMMYFUNCTION("IMPORTRANGE(""https://docs.google.com/spreadsheets/d/1eHaY18a8A9IcSdp1K8H6x8fbOy06t2VsZHhMHf-1x7Y/edit?usp=sharing"",""แผน!HK14"")"),13261)</f>
        <v>13261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IFERROR(__xludf.DUMMYFUNCTION("IMPORTRANGE(""https://docs.google.com/spreadsheets/d/1eHaY18a8A9IcSdp1K8H6x8fbOy06t2VsZHhMHf-1x7Y/edit?usp=sharing"",""แผน!HJ14"")"),145464)</f>
        <v>145464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IFERROR(__xludf.DUMMYFUNCTION("IMPORTRANGE(""https://docs.google.com/spreadsheets/d/1eHaY18a8A9IcSdp1K8H6x8fbOy06t2VsZHhMHf-1x7Y/edit?usp=sharing"",""แผน!HK14"")"),13261)</f>
        <v>13261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837.44</v>
      </c>
      <c r="J456" s="648">
        <f>J457</f>
        <v>838</v>
      </c>
      <c r="K456" s="578">
        <f ca="1">IF(I456&gt;0,J456*100/I456,0)</f>
        <v>100.06687046236148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IFERROR(__xludf.DUMMYFUNCTION("IMPORTRANGE(""https://docs.google.com/spreadsheets/d/1eHaY18a8A9IcSdp1K8H6x8fbOy06t2VsZHhMHf-1x7Y/edit?usp=sharing"",""แผน!HL14"")"),837.44)</f>
        <v>837.44</v>
      </c>
      <c r="J457" s="650">
        <f>J459+J467+J473</f>
        <v>838</v>
      </c>
      <c r="K457" s="547">
        <f ca="1">IF(I457&gt;0,J457*100/I457,0)</f>
        <v>100.06687046236148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IFERROR(__xludf.DUMMYFUNCTION("IMPORTRANGE(""https://docs.google.com/spreadsheets/d/1eHaY18a8A9IcSdp1K8H6x8fbOy06t2VsZHhMHf-1x7Y/edit?usp=sharing"",""แผน!HM14"")"),57)</f>
        <v>57</v>
      </c>
      <c r="J458" s="650">
        <f>J460+J468+J474</f>
        <v>57</v>
      </c>
      <c r="K458" s="547">
        <f ca="1">IF(I458&gt;0,J458*100/I458,0)</f>
        <v>100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838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57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700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50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138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7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IFERROR(__xludf.DUMMYFUNCTION("IMPORTRANGE(""https://docs.google.com/spreadsheets/d/1-uDff_7J0KD5mKrp0Vvzr7lt3OU09vwQwhkpOPPYv2Y/edit?usp=sharing"",""งบพรบ!HU14"")"),0)</f>
        <v>0</v>
      </c>
      <c r="M498" s="224">
        <f ca="1">IFERROR(__xludf.DUMMYFUNCTION("IMPORTRANGE(""https://docs.google.com/spreadsheets/d/1-uDff_7J0KD5mKrp0Vvzr7lt3OU09vwQwhkpOPPYv2Y/edit?usp=sharing"",""งบพรบ!HZ14"")"),0)</f>
        <v>0</v>
      </c>
      <c r="N498" s="224">
        <f ca="1">IFERROR(__xludf.DUMMYFUNCTION("IMPORTRANGE(""https://docs.google.com/spreadsheets/d/1-uDff_7J0KD5mKrp0Vvzr7lt3OU09vwQwhkpOPPYv2Y/edit?usp=sharing"",""งบพรบ!IB14"")"),0)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IFERROR(__xludf.DUMMYFUNCTION("IMPORTRANGE(""https://docs.google.com/spreadsheets/d/1ItG2mGa2ceCfYo0BwxsXqNm01IGEUdYcSSLTEv9YCik/edit?usp=sharing"",""เบิกจ่ายกองทุน!AD14"")"),0)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IFERROR(__xludf.DUMMYFUNCTION("IMPORTRANGE(""https://docs.google.com/spreadsheets/d/1ItG2mGa2ceCfYo0BwxsXqNm01IGEUdYcSSLTEv9YCik/edit?usp=sharing"",""เบิกจ่ายกองทุน!AE14"")"),0)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IFERROR(__xludf.DUMMYFUNCTION("IMPORTRANGE(""https://docs.google.com/spreadsheets/d/1ItG2mGa2ceCfYo0BwxsXqNm01IGEUdYcSSLTEv9YCik/edit?usp=sharing"",""เบิกจ่ายกองทุน!AF14"")"),0)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IFERROR(__xludf.DUMMYFUNCTION("IMPORTRANGE(""https://docs.google.com/spreadsheets/d/1-uDff_7J0KD5mKrp0Vvzr7lt3OU09vwQwhkpOPPYv2Y/edit?usp=sharing"",""งบพรบ!HX14"")"),0)</f>
        <v>0</v>
      </c>
      <c r="M501" s="224">
        <f ca="1">IFERROR(__xludf.DUMMYFUNCTION("IMPORTRANGE(""https://docs.google.com/spreadsheets/d/1-uDff_7J0KD5mKrp0Vvzr7lt3OU09vwQwhkpOPPYv2Y/edit?usp=sharing"",""งบพรบ!IA14"")"),0)</f>
        <v>0</v>
      </c>
      <c r="N501" s="224">
        <f ca="1">IFERROR(__xludf.DUMMYFUNCTION("IMPORTRANGE(""https://docs.google.com/spreadsheets/d/1-uDff_7J0KD5mKrp0Vvzr7lt3OU09vwQwhkpOPPYv2Y/edit?usp=sharing"",""งบพรบ!IC14"")"),0)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IFERROR(__xludf.DUMMYFUNCTION("IMPORTRANGE(""https://docs.google.com/spreadsheets/d/1eHaY18a8A9IcSdp1K8H6x8fbOy06t2VsZHhMHf-1x7Y/edit?usp=sharing"",""แผน!GX14"")"),0)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IFERROR(__xludf.DUMMYFUNCTION("IMPORTRANGE(""https://docs.google.com/spreadsheets/d/1eHaY18a8A9IcSdp1K8H6x8fbOy06t2VsZHhMHf-1x7Y/edit?usp=sharing"",""แผน!GY14"")"),0)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IFERROR(__xludf.DUMMYFUNCTION("IMPORTRANGE(""https://docs.google.com/spreadsheets/d/1eHaY18a8A9IcSdp1K8H6x8fbOy06t2VsZHhMHf-1x7Y/edit?usp=sharing"",""แผน!GZ14"")"),0)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IFERROR(__xludf.DUMMYFUNCTION("IMPORTRANGE(""https://docs.google.com/spreadsheets/d/1eHaY18a8A9IcSdp1K8H6x8fbOy06t2VsZHhMHf-1x7Y/edit?usp=sharing"",""แผน!HA14"")"),0)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IFERROR(__xludf.DUMMYFUNCTION("IMPORTRANGE(""https://docs.google.com/spreadsheets/d/1eHaY18a8A9IcSdp1K8H6x8fbOy06t2VsZHhMHf-1x7Y/edit?usp=sharing"",""แผน!HB14"")"),0)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IFERROR(__xludf.DUMMYFUNCTION("IMPORTRANGE(""https://docs.google.com/spreadsheets/d/1eHaY18a8A9IcSdp1K8H6x8fbOy06t2VsZHhMHf-1x7Y/edit?usp=sharing"",""แผน!HC14"")"),0)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IFERROR(__xludf.DUMMYFUNCTION("IMPORTRANGE(""https://docs.google.com/spreadsheets/d/1-uDff_7J0KD5mKrp0Vvzr7lt3OU09vwQwhkpOPPYv2Y/edit?usp=sharing"",""งบพรบ!FM14"")"),0)</f>
        <v>0</v>
      </c>
      <c r="M518" s="224">
        <f ca="1">IFERROR(__xludf.DUMMYFUNCTION("IMPORTRANGE(""https://docs.google.com/spreadsheets/d/1-uDff_7J0KD5mKrp0Vvzr7lt3OU09vwQwhkpOPPYv2Y/edit?usp=sharing"",""งบพรบ!FR14"")"),0)</f>
        <v>0</v>
      </c>
      <c r="N518" s="224">
        <f ca="1">IFERROR(__xludf.DUMMYFUNCTION("IMPORTRANGE(""https://docs.google.com/spreadsheets/d/1-uDff_7J0KD5mKrp0Vvzr7lt3OU09vwQwhkpOPPYv2Y/edit?usp=sharing"",""งบพรบ!FT14"")"),0)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IFERROR(__xludf.DUMMYFUNCTION("IMPORTRANGE(""https://docs.google.com/spreadsheets/d/1-uDff_7J0KD5mKrp0Vvzr7lt3OU09vwQwhkpOPPYv2Y/edit?usp=sharing"",""งบพรบ!FP14"")"),0)</f>
        <v>0</v>
      </c>
      <c r="M521" s="224">
        <f ca="1">IFERROR(__xludf.DUMMYFUNCTION("IMPORTRANGE(""https://docs.google.com/spreadsheets/d/1-uDff_7J0KD5mKrp0Vvzr7lt3OU09vwQwhkpOPPYv2Y/edit?usp=sharing"",""งบพรบ!FS14"")"),0)</f>
        <v>0</v>
      </c>
      <c r="N521" s="224">
        <f ca="1">IFERROR(__xludf.DUMMYFUNCTION("IMPORTRANGE(""https://docs.google.com/spreadsheets/d/1-uDff_7J0KD5mKrp0Vvzr7lt3OU09vwQwhkpOPPYv2Y/edit?usp=sharing"",""งบพรบ!FU14"")"),0)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IFERROR(__xludf.DUMMYFUNCTION("IMPORTRANGE(""https://docs.google.com/spreadsheets/d/1-uDff_7J0KD5mKrp0Vvzr7lt3OU09vwQwhkpOPPYv2Y/edit?usp=sharing"",""งบพรบ!FW14"")"),0)</f>
        <v>0</v>
      </c>
      <c r="M539" s="224">
        <f ca="1">IFERROR(__xludf.DUMMYFUNCTION("IMPORTRANGE(""https://docs.google.com/spreadsheets/d/1-uDff_7J0KD5mKrp0Vvzr7lt3OU09vwQwhkpOPPYv2Y/edit?usp=sharing"",""งบพรบ!GB14"")"),0)</f>
        <v>0</v>
      </c>
      <c r="N539" s="224">
        <f ca="1">IFERROR(__xludf.DUMMYFUNCTION("IMPORTRANGE(""https://docs.google.com/spreadsheets/d/1-uDff_7J0KD5mKrp0Vvzr7lt3OU09vwQwhkpOPPYv2Y/edit?usp=sharing"",""งบพรบ!GD14"")"),0)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IFERROR(__xludf.DUMMYFUNCTION("IMPORTRANGE(""https://docs.google.com/spreadsheets/d/1-uDff_7J0KD5mKrp0Vvzr7lt3OU09vwQwhkpOPPYv2Y/edit?usp=sharing"",""งบพรบ!FZ14"")"),0)</f>
        <v>0</v>
      </c>
      <c r="M542" s="224">
        <f ca="1">IFERROR(__xludf.DUMMYFUNCTION("IMPORTRANGE(""https://docs.google.com/spreadsheets/d/1-uDff_7J0KD5mKrp0Vvzr7lt3OU09vwQwhkpOPPYv2Y/edit?usp=sharing"",""งบพรบ!GC14"")"),0)</f>
        <v>0</v>
      </c>
      <c r="N542" s="224">
        <f ca="1">IFERROR(__xludf.DUMMYFUNCTION("IMPORTRANGE(""https://docs.google.com/spreadsheets/d/1-uDff_7J0KD5mKrp0Vvzr7lt3OU09vwQwhkpOPPYv2Y/edit?usp=sharing"",""งบพรบ!GE14"")"),0)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IFERROR(__xludf.DUMMYFUNCTION("IMPORTRANGE(""https://docs.google.com/spreadsheets/d/1-uDff_7J0KD5mKrp0Vvzr7lt3OU09vwQwhkpOPPYv2Y/edit?usp=sharing"",""งบพรบ!GG14"")"),0)</f>
        <v>0</v>
      </c>
      <c r="M560" s="224">
        <f ca="1">IFERROR(__xludf.DUMMYFUNCTION("IMPORTRANGE(""https://docs.google.com/spreadsheets/d/1-uDff_7J0KD5mKrp0Vvzr7lt3OU09vwQwhkpOPPYv2Y/edit?usp=sharing"",""งบพรบ!GL14"")"),0)</f>
        <v>0</v>
      </c>
      <c r="N560" s="224">
        <f ca="1">IFERROR(__xludf.DUMMYFUNCTION("IMPORTRANGE(""https://docs.google.com/spreadsheets/d/1-uDff_7J0KD5mKrp0Vvzr7lt3OU09vwQwhkpOPPYv2Y/edit?usp=sharing"",""งบพรบ!GN14"")"),0)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IFERROR(__xludf.DUMMYFUNCTION("IMPORTRANGE(""https://docs.google.com/spreadsheets/d/1-uDff_7J0KD5mKrp0Vvzr7lt3OU09vwQwhkpOPPYv2Y/edit?usp=sharing"",""งบพรบ!GJ14"")"),0)</f>
        <v>0</v>
      </c>
      <c r="M563" s="224">
        <f ca="1">IFERROR(__xludf.DUMMYFUNCTION("IMPORTRANGE(""https://docs.google.com/spreadsheets/d/1-uDff_7J0KD5mKrp0Vvzr7lt3OU09vwQwhkpOPPYv2Y/edit?usp=sharing"",""งบพรบ!GM14"")"),0)</f>
        <v>0</v>
      </c>
      <c r="N563" s="224">
        <f ca="1">IFERROR(__xludf.DUMMYFUNCTION("IMPORTRANGE(""https://docs.google.com/spreadsheets/d/1-uDff_7J0KD5mKrp0Vvzr7lt3OU09vwQwhkpOPPYv2Y/edit?usp=sharing"",""งบพรบ!GO14"")"),0)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IFERROR(__xludf.DUMMYFUNCTION("IMPORTRANGE(""https://docs.google.com/spreadsheets/d/1-uDff_7J0KD5mKrp0Vvzr7lt3OU09vwQwhkpOPPYv2Y/edit?usp=sharing"",""งบพรบ!GQ14"")"),0)</f>
        <v>0</v>
      </c>
      <c r="M581" s="224">
        <f ca="1">IFERROR(__xludf.DUMMYFUNCTION("IMPORTRANGE(""https://docs.google.com/spreadsheets/d/1-uDff_7J0KD5mKrp0Vvzr7lt3OU09vwQwhkpOPPYv2Y/edit?usp=sharing"",""งบพรบ!GV14"")"),0)</f>
        <v>0</v>
      </c>
      <c r="N581" s="224">
        <f ca="1">IFERROR(__xludf.DUMMYFUNCTION("IMPORTRANGE(""https://docs.google.com/spreadsheets/d/1-uDff_7J0KD5mKrp0Vvzr7lt3OU09vwQwhkpOPPYv2Y/edit?usp=sharing"",""งบพรบ!GX14"")"),0)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IFERROR(__xludf.DUMMYFUNCTION("IMPORTRANGE(""https://docs.google.com/spreadsheets/d/1-uDff_7J0KD5mKrp0Vvzr7lt3OU09vwQwhkpOPPYv2Y/edit?usp=sharing"",""งบพรบ!GT14"")"),0)</f>
        <v>0</v>
      </c>
      <c r="M584" s="224">
        <f ca="1">IFERROR(__xludf.DUMMYFUNCTION("IMPORTRANGE(""https://docs.google.com/spreadsheets/d/1-uDff_7J0KD5mKrp0Vvzr7lt3OU09vwQwhkpOPPYv2Y/edit?usp=sharing"",""งบพรบ!GW14"")"),0)</f>
        <v>0</v>
      </c>
      <c r="N584" s="224">
        <f ca="1">IFERROR(__xludf.DUMMYFUNCTION("IMPORTRANGE(""https://docs.google.com/spreadsheets/d/1-uDff_7J0KD5mKrp0Vvzr7lt3OU09vwQwhkpOPPYv2Y/edit?usp=sharing"",""งบพรบ!GY14"")"),0)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IFERROR(__xludf.DUMMYFUNCTION("IMPORTRANGE(""https://docs.google.com/spreadsheets/d/1-uDff_7J0KD5mKrp0Vvzr7lt3OU09vwQwhkpOPPYv2Y/edit?usp=sharing"",""งบพรบ!HK14"")"),0)</f>
        <v>0</v>
      </c>
      <c r="M604" s="224">
        <f ca="1">IFERROR(__xludf.DUMMYFUNCTION("IMPORTRANGE(""https://docs.google.com/spreadsheets/d/1-uDff_7J0KD5mKrp0Vvzr7lt3OU09vwQwhkpOPPYv2Y/edit?usp=sharing"",""งบพรบ!HP14"")"),0)</f>
        <v>0</v>
      </c>
      <c r="N604" s="224">
        <f ca="1">IFERROR(__xludf.DUMMYFUNCTION("IMPORTRANGE(""https://docs.google.com/spreadsheets/d/1-uDff_7J0KD5mKrp0Vvzr7lt3OU09vwQwhkpOPPYv2Y/edit?usp=sharing"",""งบพรบ!HR14"")"),0)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IFERROR(__xludf.DUMMYFUNCTION("IMPORTRANGE(""https://docs.google.com/spreadsheets/d/1ItG2mGa2ceCfYo0BwxsXqNm01IGEUdYcSSLTEv9YCik/edit?usp=sharing"",""เบิกจ่ายกองทุน!AV14"")"),0)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IFERROR(__xludf.DUMMYFUNCTION("IMPORTRANGE(""https://docs.google.com/spreadsheets/d/1ItG2mGa2ceCfYo0BwxsXqNm01IGEUdYcSSLTEv9YCik/edit?usp=sharing"",""เบิกจ่ายกองทุน!AW14"")"),0)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IFERROR(__xludf.DUMMYFUNCTION("IMPORTRANGE(""https://docs.google.com/spreadsheets/d/1ItG2mGa2ceCfYo0BwxsXqNm01IGEUdYcSSLTEv9YCik/edit?usp=sharing"",""เบิกจ่ายกองทุน!AX14"")"),0)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IFERROR(__xludf.DUMMYFUNCTION("IMPORTRANGE(""https://docs.google.com/spreadsheets/d/1-uDff_7J0KD5mKrp0Vvzr7lt3OU09vwQwhkpOPPYv2Y/edit?usp=sharing"",""งบพรบ!HN14"")"),0)</f>
        <v>0</v>
      </c>
      <c r="M607" s="224">
        <f ca="1">IFERROR(__xludf.DUMMYFUNCTION("IMPORTRANGE(""https://docs.google.com/spreadsheets/d/1-uDff_7J0KD5mKrp0Vvzr7lt3OU09vwQwhkpOPPYv2Y/edit?usp=sharing"",""งบพรบ!HQ14"")"),0)</f>
        <v>0</v>
      </c>
      <c r="N607" s="224">
        <f ca="1">IFERROR(__xludf.DUMMYFUNCTION("IMPORTRANGE(""https://docs.google.com/spreadsheets/d/1-uDff_7J0KD5mKrp0Vvzr7lt3OU09vwQwhkpOPPYv2Y/edit?usp=sharing"",""งบพรบ!HS14"")"),0)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IFERROR(__xludf.DUMMYFUNCTION("IMPORTRANGE(""https://docs.google.com/spreadsheets/d/1ItG2mGa2ceCfYo0BwxsXqNm01IGEUdYcSSLTEv9YCik/edit?usp=sharing"",""เบิกจ่ายกองทุน!AY14"")"),0)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IFERROR(__xludf.DUMMYFUNCTION("IMPORTRANGE(""https://docs.google.com/spreadsheets/d/1ItG2mGa2ceCfYo0BwxsXqNm01IGEUdYcSSLTEv9YCik/edit?usp=sharing"",""เบิกจ่ายกองทุน!AZ14"")"),0)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IFERROR(__xludf.DUMMYFUNCTION("IMPORTRANGE(""https://docs.google.com/spreadsheets/d/1ItG2mGa2ceCfYo0BwxsXqNm01IGEUdYcSSLTEv9YCik/edit?usp=sharing"",""เบิกจ่ายกองทุน!BA14"")"),0)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1875</v>
      </c>
      <c r="R616" s="547">
        <f ca="1">R617+R618</f>
        <v>600</v>
      </c>
      <c r="S616" s="547">
        <f ca="1">S617+S618</f>
        <v>600</v>
      </c>
      <c r="T616" s="547">
        <f ca="1">IF(Q616&gt;0,S616*100/Q616,0)</f>
        <v>32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1875</v>
      </c>
      <c r="R618" s="224">
        <f ca="1">R621+R624</f>
        <v>600</v>
      </c>
      <c r="S618" s="224">
        <f ca="1">S621+S624</f>
        <v>600</v>
      </c>
      <c r="T618" s="224">
        <f ca="1">IF(Q618&gt;0,S618*100/Q618,0)</f>
        <v>32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1875</v>
      </c>
      <c r="R619" s="224">
        <f ca="1">R620+R621</f>
        <v>600</v>
      </c>
      <c r="S619" s="224">
        <f ca="1">S620+S621</f>
        <v>600</v>
      </c>
      <c r="T619" s="224">
        <f ca="1">IF(Q619&gt;0,S619*100/Q619,0)</f>
        <v>32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IFERROR(__xludf.DUMMYFUNCTION("IMPORTRANGE(""https://docs.google.com/spreadsheets/d/1ItG2mGa2ceCfYo0BwxsXqNm01IGEUdYcSSLTEv9YCik/edit?usp=sharing"",""เบิกจ่ายกองทุน!F14"")"),1875)</f>
        <v>1875</v>
      </c>
      <c r="R621" s="224">
        <f ca="1">IFERROR(__xludf.DUMMYFUNCTION("IMPORTRANGE(""https://docs.google.com/spreadsheets/d/1ItG2mGa2ceCfYo0BwxsXqNm01IGEUdYcSSLTEv9YCik/edit?usp=sharing"",""เบิกจ่ายกองทุน!G14"")"),600)</f>
        <v>600</v>
      </c>
      <c r="S621" s="224">
        <f ca="1">IFERROR(__xludf.DUMMYFUNCTION("IMPORTRANGE(""https://docs.google.com/spreadsheets/d/1ItG2mGa2ceCfYo0BwxsXqNm01IGEUdYcSSLTEv9YCik/edit?usp=sharing"",""เบิกจ่ายกองทุน!H14"")"),600)</f>
        <v>600</v>
      </c>
      <c r="T621" s="224">
        <f ca="1">IF(Q621&gt;0,S621*100/Q621,0)</f>
        <v>32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IFERROR(__xludf.DUMMYFUNCTION("IMPORTRANGE(""https://docs.google.com/spreadsheets/d/1eHaY18a8A9IcSdp1K8H6x8fbOy06t2VsZHhMHf-1x7Y/edit?usp=sharing"",""แผน!ID14"")"),0)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IFERROR(__xludf.DUMMYFUNCTION("IMPORTRANGE(""https://docs.google.com/spreadsheets/d/1eHaY18a8A9IcSdp1K8H6x8fbOy06t2VsZHhMHf-1x7Y/edit?usp=sharing"",""แผน!IC14"")"),1)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IFERROR(__xludf.DUMMYFUNCTION("IMPORTRANGE(""https://docs.google.com/spreadsheets/d/1eHaY18a8A9IcSdp1K8H6x8fbOy06t2VsZHhMHf-1x7Y/edit?usp=sharing"",""แผน!IC14"")"),1)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IFERROR(__xludf.DUMMYFUNCTION("IMPORTRANGE(""https://docs.google.com/spreadsheets/d/1eHaY18a8A9IcSdp1K8H6x8fbOy06t2VsZHhMHf-1x7Y/edit?usp=sharing"",""แผน!IE14"")"),0)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2900</v>
      </c>
      <c r="R642" s="547">
        <f ca="1">R643+R644</f>
        <v>2900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2900</v>
      </c>
      <c r="R644" s="224">
        <f ca="1">R647+R650</f>
        <v>2900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2900</v>
      </c>
      <c r="R645" s="224">
        <f ca="1">R646+R647</f>
        <v>2900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IFERROR(__xludf.DUMMYFUNCTION("IMPORTRANGE(""https://docs.google.com/spreadsheets/d/1ItG2mGa2ceCfYo0BwxsXqNm01IGEUdYcSSLTEv9YCik/edit?usp=sharing"",""เบิกจ่ายกองทุน!I14"")"),2900)</f>
        <v>2900</v>
      </c>
      <c r="R647" s="224">
        <f ca="1">IFERROR(__xludf.DUMMYFUNCTION("IMPORTRANGE(""https://docs.google.com/spreadsheets/d/1ItG2mGa2ceCfYo0BwxsXqNm01IGEUdYcSSLTEv9YCik/edit?usp=sharing"",""เบิกจ่ายกองทุน!J14"")"),2900)</f>
        <v>2900</v>
      </c>
      <c r="S647" s="224">
        <f ca="1">IFERROR(__xludf.DUMMYFUNCTION("IMPORTRANGE(""https://docs.google.com/spreadsheets/d/1ItG2mGa2ceCfYo0BwxsXqNm01IGEUdYcSSLTEv9YCik/edit?usp=sharing"",""เบิกจ่ายกองทุน!K14"")"),0)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IFERROR(__xludf.DUMMYFUNCTION("IMPORTRANGE(""https://docs.google.com/spreadsheets/d/1eHaY18a8A9IcSdp1K8H6x8fbOy06t2VsZHhMHf-1x7Y/edit?usp=sharing"",""แผน!IF14"")"),0)</f>
        <v>0</v>
      </c>
      <c r="J652" s="184">
        <f ca="1">IFERROR(__xludf.DUMMYFUNCTION("IMPORTRANGE(""https://docs.google.com/spreadsheets/d/1tdoBKaGub7dwA3U6UFTqxio9LNnvDCQjHKmttSEBsFQ/edit?usp=sharing"",""จัดที่ดิน!AU14"")"),0)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IFERROR(__xludf.DUMMYFUNCTION("IMPORTRANGE(""https://docs.google.com/spreadsheets/d/1eHaY18a8A9IcSdp1K8H6x8fbOy06t2VsZHhMHf-1x7Y/edit?usp=sharing"",""แผน!IG14"")"),0)</f>
        <v>0</v>
      </c>
      <c r="J653" s="184">
        <f ca="1">IFERROR(__xludf.DUMMYFUNCTION("IMPORTRANGE(""https://docs.google.com/spreadsheets/d/1tdoBKaGub7dwA3U6UFTqxio9LNnvDCQjHKmttSEBsFQ/edit?usp=sharing"",""จัดที่ดิน!AW14"")"),0)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IFERROR(__xludf.DUMMYFUNCTION("IMPORTRANGE(""https://docs.google.com/spreadsheets/d/1eHaY18a8A9IcSdp1K8H6x8fbOy06t2VsZHhMHf-1x7Y/edit?usp=sharing"",""แผน!IH14"")"),83)</f>
        <v>83</v>
      </c>
      <c r="J654" s="338">
        <f>J657+J660</f>
        <v>131.71</v>
      </c>
      <c r="K654" s="547">
        <f ca="1">IF(I654&gt;0,J654*100/I654,0)</f>
        <v>158.68674698795181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7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7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IFERROR(__xludf.DUMMYFUNCTION("IMPORTRANGE(""https://docs.google.com/spreadsheets/d/1eHaY18a8A9IcSdp1K8H6x8fbOy06t2VsZHhMHf-1x7Y/edit?usp=sharing"",""แผน!II14"")"),83)</f>
        <v>83</v>
      </c>
      <c r="J657" s="380">
        <v>131.71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IFERROR(__xludf.DUMMYFUNCTION("IMPORTRANGE(""https://docs.google.com/spreadsheets/d/1eHaY18a8A9IcSdp1K8H6x8fbOy06t2VsZHhMHf-1x7Y/edit?usp=sharing"",""แผน!IJ14"")"),0)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IFERROR(__xludf.DUMMYFUNCTION("IMPORTRANGE(""https://docs.google.com/spreadsheets/d/1eHaY18a8A9IcSdp1K8H6x8fbOy06t2VsZHhMHf-1x7Y/edit?usp=sharing"",""แผน!IK14"")"),0)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IFERROR(__xludf.DUMMYFUNCTION("IMPORTRANGE(""https://docs.google.com/spreadsheets/d/1tdoBKaGub7dwA3U6UFTqxio9LNnvDCQjHKmttSEBsFQ/edit?usp=sharing"",""จัดที่ดิน!AY14"")"),1)</f>
        <v>1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IFERROR(__xludf.DUMMYFUNCTION("IMPORTRANGE(""https://docs.google.com/spreadsheets/d/1tdoBKaGub7dwA3U6UFTqxio9LNnvDCQjHKmttSEBsFQ/edit?usp=sharing"",""จัดที่ดิน!AZ14"")"),1)</f>
        <v>1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IFERROR(__xludf.DUMMYFUNCTION("IMPORTRANGE(""https://docs.google.com/spreadsheets/d/1eHaY18a8A9IcSdp1K8H6x8fbOy06t2VsZHhMHf-1x7Y/edit?usp=sharing"",""แผน!IL14"")"),0)</f>
        <v>0</v>
      </c>
      <c r="J673" s="184">
        <f ca="1">IFERROR(__xludf.DUMMYFUNCTION("IMPORTRANGE(""https://docs.google.com/spreadsheets/d/1tdoBKaGub7dwA3U6UFTqxio9LNnvDCQjHKmttSEBsFQ/edit?usp=sharing"",""จัดที่ดิน!BA14"")"),17.29)</f>
        <v>17.29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IFERROR(__xludf.DUMMYFUNCTION("IMPORTRANGE(""https://docs.google.com/spreadsheets/d/1eHaY18a8A9IcSdp1K8H6x8fbOy06t2VsZHhMHf-1x7Y/edit?usp=sharing"",""แผน!IM14"")"),2)</f>
        <v>2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IFERROR(__xludf.DUMMYFUNCTION("IMPORTRANGE(""https://docs.google.com/spreadsheets/d/1eHaY18a8A9IcSdp1K8H6x8fbOy06t2VsZHhMHf-1x7Y/edit?usp=sharing"",""แผน!IN14"")"),59)</f>
        <v>59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IFERROR(__xludf.DUMMYFUNCTION("IMPORTRANGE(""https://docs.google.com/spreadsheets/d/1eHaY18a8A9IcSdp1K8H6x8fbOy06t2VsZHhMHf-1x7Y/edit?usp=sharing"",""แผน!IO14"")"),2)</f>
        <v>2</v>
      </c>
      <c r="J676" s="184">
        <f ca="1">IFERROR(__xludf.DUMMYFUNCTION("IMPORTRANGE(""https://docs.google.com/spreadsheets/d/1tdoBKaGub7dwA3U6UFTqxio9LNnvDCQjHKmttSEBsFQ/edit?usp=sharing"",""จัดที่ดิน!BF14"")"),0)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IFERROR(__xludf.DUMMYFUNCTION("IMPORTRANGE(""https://docs.google.com/spreadsheets/d/1tdoBKaGub7dwA3U6UFTqxio9LNnvDCQjHKmttSEBsFQ/edit?usp=sharing"",""จัดที่ดิน!BG14"")"),0)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IFERROR(__xludf.DUMMYFUNCTION("IMPORTRANGE(""https://docs.google.com/spreadsheets/d/1eHaY18a8A9IcSdp1K8H6x8fbOy06t2VsZHhMHf-1x7Y/edit?usp=sharing"",""แผน!IP14"")"),59)</f>
        <v>59</v>
      </c>
      <c r="J678" s="184">
        <f ca="1">IFERROR(__xludf.DUMMYFUNCTION("IMPORTRANGE(""https://docs.google.com/spreadsheets/d/1tdoBKaGub7dwA3U6UFTqxio9LNnvDCQjHKmttSEBsFQ/edit?usp=sharing"",""จัดที่ดิน!BH14"")"),0)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IFERROR(__xludf.DUMMYFUNCTION("IMPORTRANGE(""https://docs.google.com/spreadsheets/d/1eHaY18a8A9IcSdp1K8H6x8fbOy06t2VsZHhMHf-1x7Y/edit?usp=sharing"",""แผน!IQ14"")"),0)</f>
        <v>0</v>
      </c>
      <c r="J679" s="184">
        <f ca="1">IFERROR(__xludf.DUMMYFUNCTION("IMPORTRANGE(""https://docs.google.com/spreadsheets/d/1tdoBKaGub7dwA3U6UFTqxio9LNnvDCQjHKmttSEBsFQ/edit?usp=sharing"",""จัดที่ดิน!BK14"")"),0)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IFERROR(__xludf.DUMMYFUNCTION("IMPORTRANGE(""https://docs.google.com/spreadsheets/d/1tdoBKaGub7dwA3U6UFTqxio9LNnvDCQjHKmttSEBsFQ/edit?usp=sharing"",""จัดที่ดิน!BL14"")"),0)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IFERROR(__xludf.DUMMYFUNCTION("IMPORTRANGE(""https://docs.google.com/spreadsheets/d/1eHaY18a8A9IcSdp1K8H6x8fbOy06t2VsZHhMHf-1x7Y/edit?usp=sharing"",""แผน!IR14"")"),0)</f>
        <v>0</v>
      </c>
      <c r="J681" s="184">
        <f ca="1">IFERROR(__xludf.DUMMYFUNCTION("IMPORTRANGE(""https://docs.google.com/spreadsheets/d/1tdoBKaGub7dwA3U6UFTqxio9LNnvDCQjHKmttSEBsFQ/edit?usp=sharing"",""จัดที่ดิน!BM14"")"),0)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IFERROR(__xludf.DUMMYFUNCTION("IMPORTRANGE(""https://docs.google.com/spreadsheets/d/1eHaY18a8A9IcSdp1K8H6x8fbOy06t2VsZHhMHf-1x7Y/edit?usp=sharing"",""แผน!IS14"")"),0)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100</v>
      </c>
      <c r="J689" s="552">
        <f ca="1">J707</f>
        <v>166</v>
      </c>
      <c r="K689" s="551">
        <f ca="1">IF(I689&gt;0,J689*100/I689,0)</f>
        <v>166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224500</v>
      </c>
      <c r="R690" s="547">
        <f ca="1">R691+R692</f>
        <v>224500</v>
      </c>
      <c r="S690" s="547">
        <f ca="1">S691+S692</f>
        <v>169340</v>
      </c>
      <c r="T690" s="547">
        <f ca="1">IF(Q690&gt;0,S690*100/Q690,0)</f>
        <v>75.429844097995542</v>
      </c>
      <c r="U690" s="547">
        <f ca="1">IF(R690&gt;0,S690*100/R690,0)</f>
        <v>75.429844097995542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224500</v>
      </c>
      <c r="R692" s="224">
        <f ca="1">R695+R698</f>
        <v>224500</v>
      </c>
      <c r="S692" s="224">
        <f ca="1">S695+S698</f>
        <v>169340</v>
      </c>
      <c r="T692" s="224">
        <f ca="1">IF(Q692&gt;0,S692*100/Q692,0)</f>
        <v>75.429844097995542</v>
      </c>
      <c r="U692" s="224">
        <f ca="1">IF(R692&gt;0,S692*100/R692,0)</f>
        <v>75.429844097995542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224500</v>
      </c>
      <c r="R693" s="224">
        <f ca="1">R694+R695</f>
        <v>224500</v>
      </c>
      <c r="S693" s="224">
        <f ca="1">S694+S695</f>
        <v>169340</v>
      </c>
      <c r="T693" s="224">
        <f ca="1">IF(Q693&gt;0,S693*100/Q693,0)</f>
        <v>75.429844097995542</v>
      </c>
      <c r="U693" s="224">
        <f ca="1">IF(R693&gt;0,S693*100/R693,0)</f>
        <v>75.429844097995542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5" s="224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5" s="224">
        <f ca="1">IFERROR(__xludf.DUMMYFUNCTION("IMPORTRANGE(""https://docs.google.com/spreadsheets/d/1ItG2mGa2ceCfYo0BwxsXqNm01IGEUdYcSSLTEv9YCik/edit?usp=sharing"",""เบิกจ่ายกองทุน!N14"")"),169340)</f>
        <v>169340</v>
      </c>
      <c r="T695" s="224">
        <f ca="1">IF(Q695&gt;0,S695*100/Q695,0)</f>
        <v>75.429844097995542</v>
      </c>
      <c r="U695" s="224">
        <f ca="1">IF(R695&gt;0,S695*100/R695,0)</f>
        <v>75.429844097995542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IFERROR(__xludf.DUMMYFUNCTION("IMPORTRANGE(""https://docs.google.com/spreadsheets/d/1eHaY18a8A9IcSdp1K8H6x8fbOy06t2VsZHhMHf-1x7Y/edit?usp=sharing"",""แผน!LC14"")"),0)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105</v>
      </c>
      <c r="J701" s="338">
        <f ca="1">J703+J705</f>
        <v>167</v>
      </c>
      <c r="K701" s="547">
        <f ca="1">IF(I701&gt;0,J701*100/I701,0)</f>
        <v>159.04761904761904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102.39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IFERROR(__xludf.DUMMYFUNCTION("IMPORTRANGE(""https://docs.google.com/spreadsheets/d/1eHaY18a8A9IcSdp1K8H6x8fbOy06t2VsZHhMHf-1x7Y/edit?usp=sharing"",""แผน!LJ14"")"),100)</f>
        <v>100</v>
      </c>
      <c r="J703" s="184">
        <f ca="1">IFERROR(__xludf.DUMMYFUNCTION("IMPORTRANGE(""https://docs.google.com/spreadsheets/d/1tdoBKaGub7dwA3U6UFTqxio9LNnvDCQjHKmttSEBsFQ/edit?usp=sharing"",""จัดที่ดิน!AP14"")"),167)</f>
        <v>167</v>
      </c>
      <c r="K703" s="224">
        <f ca="1">IF(I703&gt;0,J703*100/I703,0)</f>
        <v>167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IFERROR(__xludf.DUMMYFUNCTION("IMPORTRANGE(""https://docs.google.com/spreadsheets/d/1tdoBKaGub7dwA3U6UFTqxio9LNnvDCQjHKmttSEBsFQ/edit?usp=sharing"",""จัดที่ดิน!AQ14"")"),102.39)</f>
        <v>102.39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IFERROR(__xludf.DUMMYFUNCTION("IMPORTRANGE(""https://docs.google.com/spreadsheets/d/1eHaY18a8A9IcSdp1K8H6x8fbOy06t2VsZHhMHf-1x7Y/edit?usp=sharing"",""แผน!LK14"")"),5)</f>
        <v>5</v>
      </c>
      <c r="J705" s="184">
        <f ca="1">IFERROR(__xludf.DUMMYFUNCTION("IMPORTRANGE(""https://docs.google.com/spreadsheets/d/1tdoBKaGub7dwA3U6UFTqxio9LNnvDCQjHKmttSEBsFQ/edit?usp=sharing"",""จัดที่ดิน!AR14"")"),0)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IFERROR(__xludf.DUMMYFUNCTION("IMPORTRANGE(""https://docs.google.com/spreadsheets/d/1tdoBKaGub7dwA3U6UFTqxio9LNnvDCQjHKmttSEBsFQ/edit?usp=sharing"",""จัดที่ดิน!AS14"")"),0)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IFERROR(__xludf.DUMMYFUNCTION("IMPORTRANGE(""https://docs.google.com/spreadsheets/d/1eHaY18a8A9IcSdp1K8H6x8fbOy06t2VsZHhMHf-1x7Y/edit?usp=sharing"",""แผน!LJ14"")"),100)</f>
        <v>100</v>
      </c>
      <c r="J707" s="184">
        <f ca="1">IFERROR(__xludf.DUMMYFUNCTION("IMPORTRANGE(""https://docs.google.com/spreadsheets/d/1tdoBKaGub7dwA3U6UFTqxio9LNnvDCQjHKmttSEBsFQ/edit?usp=sharing"",""จัดที่ดิน!BN14"")"),166)</f>
        <v>166</v>
      </c>
      <c r="K707" s="224">
        <f ca="1">IF(I707&gt;0,J707*100/I707,0)</f>
        <v>166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IFERROR(__xludf.DUMMYFUNCTION("IMPORTRANGE(""https://docs.google.com/spreadsheets/d/1tdoBKaGub7dwA3U6UFTqxio9LNnvDCQjHKmttSEBsFQ/edit?usp=sharing"",""จัดที่ดิน!BO14"")"),102)</f>
        <v>102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IFERROR(__xludf.DUMMYFUNCTION("IMPORTRANGE(""https://docs.google.com/spreadsheets/d/1eHaY18a8A9IcSdp1K8H6x8fbOy06t2VsZHhMHf-1x7Y/edit?usp=sharing"",""แผน!LK14"")"),5)</f>
        <v>5</v>
      </c>
      <c r="J709" s="184">
        <f ca="1">IFERROR(__xludf.DUMMYFUNCTION("IMPORTRANGE(""https://docs.google.com/spreadsheets/d/1tdoBKaGub7dwA3U6UFTqxio9LNnvDCQjHKmttSEBsFQ/edit?usp=sharing"",""จัดที่ดิน!BP14"")"),5)</f>
        <v>5</v>
      </c>
      <c r="K709" s="224">
        <f ca="1">IF(I709&gt;0,J709*100/I709,0)</f>
        <v>100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IFERROR(__xludf.DUMMYFUNCTION("IMPORTRANGE(""https://docs.google.com/spreadsheets/d/1tdoBKaGub7dwA3U6UFTqxio9LNnvDCQjHKmttSEBsFQ/edit?usp=sharing"",""จัดที่ดิน!BQ14"")"),0)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IFERROR(__xludf.DUMMYFUNCTION("IMPORTRANGE(""https://docs.google.com/spreadsheets/d/1eHaY18a8A9IcSdp1K8H6x8fbOy06t2VsZHhMHf-1x7Y/edit?usp=sharing"",""แผน!GA14"")"),128)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IFERROR(__xludf.DUMMYFUNCTION("IMPORTRANGE(""https://docs.google.com/spreadsheets/d/1eHaY18a8A9IcSdp1K8H6x8fbOy06t2VsZHhMHf-1x7Y/edit?usp=sharing"",""แผน!FZ14"")"),1250)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227500</v>
      </c>
      <c r="T728" s="547">
        <f ca="1">IF(Q728&gt;0,S728*100/Q728,0)</f>
        <v>22.55892589764693</v>
      </c>
      <c r="U728" s="547">
        <f ca="1">IF(R728&gt;0,S728*100/R728,0)</f>
        <v>22.55892589764693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227500</v>
      </c>
      <c r="T730" s="224">
        <f ca="1">IF(Q730&gt;0,S730*100/Q730,0)</f>
        <v>22.55892589764693</v>
      </c>
      <c r="U730" s="224">
        <f ca="1">IF(R730&gt;0,S730*100/R730,0)</f>
        <v>22.55892589764693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227500</v>
      </c>
      <c r="T731" s="224">
        <f ca="1">IF(Q731&gt;0,S731*100/Q731,0)</f>
        <v>22.55892589764693</v>
      </c>
      <c r="U731" s="224">
        <f ca="1">IF(R731&gt;0,S731*100/R731,0)</f>
        <v>22.55892589764693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IFERROR(__xludf.DUMMYFUNCTION("IMPORTRANGE(""https://docs.google.com/spreadsheets/d/1ItG2mGa2ceCfYo0BwxsXqNm01IGEUdYcSSLTEv9YCik/edit?usp=sharing"",""เบิกจ่ายกองทุน!Q14"")"),227500)</f>
        <v>227500</v>
      </c>
      <c r="T733" s="224">
        <f ca="1">IF(Q733&gt;0,S733*100/Q733,0)</f>
        <v>22.55892589764693</v>
      </c>
      <c r="U733" s="224">
        <f ca="1">IF(R733&gt;0,S733*100/R733,0)</f>
        <v>22.55892589764693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IFERROR(__xludf.DUMMYFUNCTION("IMPORTRANGE(""https://docs.google.com/spreadsheets/d/1eHaY18a8A9IcSdp1K8H6x8fbOy06t2VsZHhMHf-1x7Y/edit?usp=sharing"",""แผน!GB14"")"),1000)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IFERROR(__xludf.DUMMYFUNCTION("IMPORTRANGE(""https://docs.google.com/spreadsheets/d/1eHaY18a8A9IcSdp1K8H6x8fbOy06t2VsZHhMHf-1x7Y/edit?usp=sharing"",""แผน!GC14"")"),100)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IFERROR(__xludf.DUMMYFUNCTION("IMPORTRANGE(""https://docs.google.com/spreadsheets/d/1eHaY18a8A9IcSdp1K8H6x8fbOy06t2VsZHhMHf-1x7Y/edit?usp=sharing"",""แผน!GD14"")"),250)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IFERROR(__xludf.DUMMYFUNCTION("IMPORTRANGE(""https://docs.google.com/spreadsheets/d/1eHaY18a8A9IcSdp1K8H6x8fbOy06t2VsZHhMHf-1x7Y/edit?usp=sharing"",""แผน!GE14"")"),25)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3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IFERROR(__xludf.DUMMYFUNCTION("IMPORTRANGE(""https://docs.google.com/spreadsheets/d/1eHaY18a8A9IcSdp1K8H6x8fbOy06t2VsZHhMHf-1x7Y/edit?usp=sharing"",""แผน!GF14"")"),3)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IFERROR(__xludf.DUMMYFUNCTION("IMPORTRANGE(""https://docs.google.com/spreadsheets/d/1eHaY18a8A9IcSdp1K8H6x8fbOy06t2VsZHhMHf-1x7Y/edit?usp=sharing"",""แผน!GB14"")"),1000)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IFERROR(__xludf.DUMMYFUNCTION("IMPORTRANGE(""https://docs.google.com/spreadsheets/d/1eHaY18a8A9IcSdp1K8H6x8fbOy06t2VsZHhMHf-1x7Y/edit?usp=sharing"",""แผน!GD14"")"),250)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3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50</v>
      </c>
      <c r="J758" s="552">
        <f>J772</f>
        <v>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500</v>
      </c>
      <c r="J759" s="552">
        <f>J774</f>
        <v>500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871800</v>
      </c>
      <c r="R760" s="547">
        <f ca="1">R761+R762</f>
        <v>871800</v>
      </c>
      <c r="S760" s="547">
        <f ca="1">S761+S762</f>
        <v>216160</v>
      </c>
      <c r="T760" s="547">
        <f ca="1">IF(Q760&gt;0,S760*100/Q760,0)</f>
        <v>24.794677678366597</v>
      </c>
      <c r="U760" s="547">
        <f ca="1">IF(R760&gt;0,S760*100/R760,0)</f>
        <v>24.794677678366597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871800</v>
      </c>
      <c r="R762" s="224">
        <f ca="1">R765+R768</f>
        <v>871800</v>
      </c>
      <c r="S762" s="224">
        <f ca="1">S765+S768</f>
        <v>216160</v>
      </c>
      <c r="T762" s="224">
        <f ca="1">IF(Q762&gt;0,S762*100/Q762,0)</f>
        <v>24.794677678366597</v>
      </c>
      <c r="U762" s="224">
        <f ca="1">IF(R762&gt;0,S762*100/R762,0)</f>
        <v>24.794677678366597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871800</v>
      </c>
      <c r="R763" s="224">
        <f ca="1">R764+R765</f>
        <v>871800</v>
      </c>
      <c r="S763" s="224">
        <f ca="1">S764+S765</f>
        <v>216160</v>
      </c>
      <c r="T763" s="224">
        <f ca="1">IF(Q763&gt;0,S763*100/Q763,0)</f>
        <v>24.794677678366597</v>
      </c>
      <c r="U763" s="224">
        <f ca="1">IF(R763&gt;0,S763*100/R763,0)</f>
        <v>24.794677678366597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IFERROR(__xludf.DUMMYFUNCTION("IMPORTRANGE(""https://docs.google.com/spreadsheets/d/1ItG2mGa2ceCfYo0BwxsXqNm01IGEUdYcSSLTEv9YCik/edit?usp=sharing"",""เบิกจ่ายกองทุน!AA14"")"),871800)</f>
        <v>871800</v>
      </c>
      <c r="R765" s="224">
        <f ca="1">IFERROR(__xludf.DUMMYFUNCTION("IMPORTRANGE(""https://docs.google.com/spreadsheets/d/1ItG2mGa2ceCfYo0BwxsXqNm01IGEUdYcSSLTEv9YCik/edit?usp=sharing"",""เบิกจ่ายกองทุน!AB14"")"),871800)</f>
        <v>871800</v>
      </c>
      <c r="S765" s="224">
        <f ca="1">IFERROR(__xludf.DUMMYFUNCTION("IMPORTRANGE(""https://docs.google.com/spreadsheets/d/1ItG2mGa2ceCfYo0BwxsXqNm01IGEUdYcSSLTEv9YCik/edit?usp=sharing"",""เบิกจ่ายกองทุน!AC14"")"),216160)</f>
        <v>216160</v>
      </c>
      <c r="T765" s="224">
        <f ca="1">IF(Q765&gt;0,S765*100/Q765,0)</f>
        <v>24.794677678366597</v>
      </c>
      <c r="U765" s="224">
        <f ca="1">IF(R765&gt;0,S765*100/R765,0)</f>
        <v>24.794677678366597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IFERROR(__xludf.DUMMYFUNCTION("IMPORTRANGE(""https://docs.google.com/spreadsheets/d/1eHaY18a8A9IcSdp1K8H6x8fbOy06t2VsZHhMHf-1x7Y/edit?usp=sharing"",""แผน!FI14"")"),1)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IFERROR(__xludf.DUMMYFUNCTION("IMPORTRANGE(""https://docs.google.com/spreadsheets/d/1eHaY18a8A9IcSdp1K8H6x8fbOy06t2VsZHhMHf-1x7Y/edit?usp=sharing"",""แผน!FQ14"")"),50)</f>
        <v>50</v>
      </c>
      <c r="J772" s="380">
        <v>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IFERROR(__xludf.DUMMYFUNCTION("IMPORTRANGE(""https://docs.google.com/spreadsheets/d/1eHaY18a8A9IcSdp1K8H6x8fbOy06t2VsZHhMHf-1x7Y/edit?usp=sharing"",""แผน!FR14"")"),500)</f>
        <v>500</v>
      </c>
      <c r="J774" s="380">
        <v>500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IFERROR(__xludf.DUMMYFUNCTION("IMPORTRANGE(""https://docs.google.com/spreadsheets/d/1eHaY18a8A9IcSdp1K8H6x8fbOy06t2VsZHhMHf-1x7Y/edit?usp=sharing"",""แผน!FS14"")"),500)</f>
        <v>500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IFERROR(__xludf.DUMMYFUNCTION("IMPORTRANGE(""https://docs.google.com/spreadsheets/d/1eHaY18a8A9IcSdp1K8H6x8fbOy06t2VsZHhMHf-1x7Y/edit?usp=sharing"",""แผน!FT14"")"),50)</f>
        <v>50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IFERROR(__xludf.DUMMYFUNCTION("IMPORTRANGE(""https://docs.google.com/spreadsheets/d/10OvvATaaLtwErnr3qtWFcTmtbfpFEt5Bsqel9sXx0uE/edit?usp=sharing"",""งานกองทุน!D14"")"),5000000)</f>
        <v>5000000</v>
      </c>
      <c r="J778" s="184">
        <f ca="1">IFERROR(__xludf.DUMMYFUNCTION("IMPORTRANGE(""https://docs.google.com/spreadsheets/d/10OvvATaaLtwErnr3qtWFcTmtbfpFEt5Bsqel9sXx0uE/edit?usp=sharing"",""งานกองทุน!F14"")"),3398721.09)</f>
        <v>3398721.09</v>
      </c>
      <c r="K778" s="224">
        <f ca="1">IF(I778&gt;0,J778*100/I778,0)</f>
        <v>67.974421800000002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IFERROR(__xludf.DUMMYFUNCTION("IMPORTRANGE(""https://docs.google.com/spreadsheets/d/10OvvATaaLtwErnr3qtWFcTmtbfpFEt5Bsqel9sXx0uE/edit?usp=sharing"",""งานกองทุน!C14"")"),165)</f>
        <v>165</v>
      </c>
      <c r="J779" s="184">
        <f ca="1">IFERROR(__xludf.DUMMYFUNCTION("IMPORTRANGE(""https://docs.google.com/spreadsheets/d/10OvvATaaLtwErnr3qtWFcTmtbfpFEt5Bsqel9sXx0uE/edit?usp=sharing"",""งานกองทุน!E14"")"),114)</f>
        <v>114</v>
      </c>
      <c r="K779" s="224">
        <f ca="1">IF(I779&gt;0,J779*100/I779,0)</f>
        <v>69.090909090909093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184">
        <f ca="1">IFERROR(__xludf.DUMMYFUNCTION("IMPORTRANGE(""https://docs.google.com/spreadsheets/d/10OvvATaaLtwErnr3qtWFcTmtbfpFEt5Bsqel9sXx0uE/edit?usp=sharing"",""งานกองทุน!K14"")"),649747.84)</f>
        <v>649747.84</v>
      </c>
      <c r="K780" s="224">
        <f ca="1">IF(I780&gt;0,J780*100/I780,0)</f>
        <v>13.137090635698822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IFERROR(__xludf.DUMMYFUNCTION("IMPORTRANGE(""https://docs.google.com/spreadsheets/d/10OvvATaaLtwErnr3qtWFcTmtbfpFEt5Bsqel9sXx0uE/edit?usp=sharing"",""งานกองทุน!H14"")"),144)</f>
        <v>144</v>
      </c>
      <c r="J781" s="184">
        <f ca="1">IFERROR(__xludf.DUMMYFUNCTION("IMPORTRANGE(""https://docs.google.com/spreadsheets/d/10OvvATaaLtwErnr3qtWFcTmtbfpFEt5Bsqel9sXx0uE/edit?usp=sharing"",""งานกองทุน!J14"")"),49)</f>
        <v>49</v>
      </c>
      <c r="K781" s="224">
        <f ca="1">IF(I781&gt;0,J781*100/I781,0)</f>
        <v>34.027777777777779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184">
        <f ca="1">IFERROR(__xludf.DUMMYFUNCTION("IMPORTRANGE(""https://docs.google.com/spreadsheets/d/10OvvATaaLtwErnr3qtWFcTmtbfpFEt5Bsqel9sXx0uE/edit?usp=sharing"",""งานกองทุน!P14"")"),1026932.59)</f>
        <v>1026932.59</v>
      </c>
      <c r="K782" s="224">
        <f ca="1">IF(I782&gt;0,J782*100/I782,0)</f>
        <v>44.648333576335631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IFERROR(__xludf.DUMMYFUNCTION("IMPORTRANGE(""https://docs.google.com/spreadsheets/d/10OvvATaaLtwErnr3qtWFcTmtbfpFEt5Bsqel9sXx0uE/edit?usp=sharing"",""งานกองทุน!M14"")"),262)</f>
        <v>262</v>
      </c>
      <c r="J783" s="184">
        <f ca="1">IFERROR(__xludf.DUMMYFUNCTION("IMPORTRANGE(""https://docs.google.com/spreadsheets/d/10OvvATaaLtwErnr3qtWFcTmtbfpFEt5Bsqel9sXx0uE/edit?usp=sharing"",""งานกองทุน!O14"")"),54)</f>
        <v>54</v>
      </c>
      <c r="K783" s="224">
        <f ca="1">IF(I783&gt;0,J783*100/I783,0)</f>
        <v>20.610687022900763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IFERROR(__xludf.DUMMYFUNCTION("IMPORTRANGE(""https://docs.google.com/spreadsheets/d/10OvvATaaLtwErnr3qtWFcTmtbfpFEt5Bsqel9sXx0uE/edit?usp=sharing"",""งานกองทุน!S14"")"),7980000)</f>
        <v>7980000</v>
      </c>
      <c r="J784" s="184">
        <f ca="1">IFERROR(__xludf.DUMMYFUNCTION("IMPORTRANGE(""https://docs.google.com/spreadsheets/d/10OvvATaaLtwErnr3qtWFcTmtbfpFEt5Bsqel9sXx0uE/edit?usp=sharing"",""งานกองทุน!U14"")"),5940000)</f>
        <v>5940000</v>
      </c>
      <c r="K784" s="224">
        <f ca="1">IF(I784&gt;0,J784*100/I784,0)</f>
        <v>74.436090225563916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IFERROR(__xludf.DUMMYFUNCTION("IMPORTRANGE(""https://docs.google.com/spreadsheets/d/10OvvATaaLtwErnr3qtWFcTmtbfpFEt5Bsqel9sXx0uE/edit?usp=sharing"",""งานกองทุน!R14"")"),285)</f>
        <v>285</v>
      </c>
      <c r="J785" s="188">
        <f ca="1">IFERROR(__xludf.DUMMYFUNCTION("IMPORTRANGE(""https://docs.google.com/spreadsheets/d/10OvvATaaLtwErnr3qtWFcTmtbfpFEt5Bsqel9sXx0uE/edit?usp=sharing"",""งานกองทุน!T14"")"),163)</f>
        <v>163</v>
      </c>
      <c r="K785" s="508">
        <f ca="1">IF(I785&gt;0,J785*100/I785,0)</f>
        <v>57.192982456140349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S5:U5"/>
    <mergeCell ref="A4:G6"/>
    <mergeCell ref="H4:H6"/>
    <mergeCell ref="I4:K5"/>
    <mergeCell ref="L4:P4"/>
    <mergeCell ref="Q4:U4"/>
    <mergeCell ref="N5:P5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02537-B7FD-4A7D-B457-A91540D6A45C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321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27" t="s">
        <v>4</v>
      </c>
      <c r="B4" s="812"/>
      <c r="C4" s="812"/>
      <c r="D4" s="812"/>
      <c r="E4" s="812"/>
      <c r="F4" s="812"/>
      <c r="G4" s="811"/>
      <c r="H4" s="826" t="s">
        <v>5</v>
      </c>
      <c r="I4" s="825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23" t="s">
        <v>9</v>
      </c>
      <c r="J6" s="824" t="s">
        <v>10</v>
      </c>
      <c r="K6" s="823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5802280</v>
      </c>
      <c r="M18" s="755">
        <f ca="1">M19+M20</f>
        <v>6169859.2300000004</v>
      </c>
      <c r="N18" s="755">
        <f ca="1">N19+N20</f>
        <v>5186823.2200000007</v>
      </c>
      <c r="O18" s="755">
        <f ca="1">IF(L18&gt;0,N18*100/L18,0)</f>
        <v>89.392845915743479</v>
      </c>
      <c r="P18" s="755">
        <f ca="1">IF(M18&gt;0,N18*100/M18,0)</f>
        <v>84.067124170027455</v>
      </c>
      <c r="Q18" s="755">
        <f ca="1">Q19+Q20</f>
        <v>4053159.24</v>
      </c>
      <c r="R18" s="755">
        <f ca="1">R19+R20</f>
        <v>3982255</v>
      </c>
      <c r="S18" s="755">
        <f ca="1">S19+S20</f>
        <v>2954587.06</v>
      </c>
      <c r="T18" s="755">
        <f ca="1">IF(Q18&gt;0,S18*100/Q18,0)</f>
        <v>72.89590378886767</v>
      </c>
      <c r="U18" s="755">
        <f ca="1">IF(R18&gt;0,S18*100/R18,0)</f>
        <v>74.193818828779172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5802280</v>
      </c>
      <c r="M20" s="794">
        <f ca="1">M23+M26</f>
        <v>6169859.2300000004</v>
      </c>
      <c r="N20" s="794">
        <f ca="1">N23+N26</f>
        <v>5186823.2200000007</v>
      </c>
      <c r="O20" s="794">
        <f ca="1">IF(L20&gt;0,N20*100/L20,0)</f>
        <v>89.392845915743479</v>
      </c>
      <c r="P20" s="794">
        <f ca="1">IF(M20&gt;0,N20*100/M20,0)</f>
        <v>84.067124170027455</v>
      </c>
      <c r="Q20" s="794">
        <f ca="1">Q23+Q26</f>
        <v>4053159.24</v>
      </c>
      <c r="R20" s="794">
        <f ca="1">R23+R26</f>
        <v>3982255</v>
      </c>
      <c r="S20" s="794">
        <f ca="1">S23+S26</f>
        <v>2954587.06</v>
      </c>
      <c r="T20" s="794">
        <f ca="1">IF(Q20&gt;0,S20*100/Q20,0)</f>
        <v>72.89590378886767</v>
      </c>
      <c r="U20" s="794">
        <f ca="1">IF(R20&gt;0,S20*100/R20,0)</f>
        <v>74.193818828779172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4567280</v>
      </c>
      <c r="M21" s="224">
        <f ca="1">M22+M23</f>
        <v>5045460.2300000004</v>
      </c>
      <c r="N21" s="224">
        <f ca="1">N22+N23</f>
        <v>4062424.22</v>
      </c>
      <c r="O21" s="224">
        <f ca="1">IF(L21&gt;0,N21*100/L21,0)</f>
        <v>88.946248533043743</v>
      </c>
      <c r="P21" s="224">
        <f ca="1">IF(M21&gt;0,N21*100/M21,0)</f>
        <v>80.516425356899489</v>
      </c>
      <c r="Q21" s="224">
        <f ca="1">Q22+Q23</f>
        <v>3365159.24</v>
      </c>
      <c r="R21" s="224">
        <f ca="1">R22+R23</f>
        <v>3294255</v>
      </c>
      <c r="S21" s="224">
        <f ca="1">S22+S23</f>
        <v>2656587.06</v>
      </c>
      <c r="T21" s="224">
        <f ca="1">IF(Q21&gt;0,S21*100/Q21,0)</f>
        <v>78.943873693180706</v>
      </c>
      <c r="U21" s="224">
        <f ca="1">IF(R21&gt;0,S21*100/R21,0)</f>
        <v>80.643030366501677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4567280</v>
      </c>
      <c r="M23" s="224">
        <f ca="1">M49+M64+M77+M99+M122+M144+M162+M191+M178+M271+M287+M308+M325+M338+M361+M380+M418+M498+M518+M539+M560+M581+M604+M621+M647+M695+M719+M733+M765</f>
        <v>5045460.2300000004</v>
      </c>
      <c r="N23" s="224">
        <f ca="1">N49+N64+N77+N99+N122+N144+N162+N191+N178+N271+N287+N308+N325+N338+N361+N380+N418+N498+N518+N539+N560+N581+N604+N621+N647+N695+N719+N733+N765</f>
        <v>4062424.22</v>
      </c>
      <c r="O23" s="224">
        <f ca="1">IF(L23&gt;0,N23*100/L23,0)</f>
        <v>88.946248533043743</v>
      </c>
      <c r="P23" s="224">
        <f ca="1">IF(M23&gt;0,N23*100/M23,0)</f>
        <v>80.516425356899489</v>
      </c>
      <c r="Q23" s="224">
        <f ca="1">Q77+Q99+Q122+Q144+Q162+Q178+Q191+Q271+Q287+Q308+Q338+Q380+Q397+Q418+Q498+Q604+Q621+Q647+Q695+Q719+Q733+Q765</f>
        <v>3365159.24</v>
      </c>
      <c r="R23" s="224">
        <f ca="1">R77+R99+R122+R144+R162+R178+R191+R271+R287+R308+R338+R380+R397+R418+R498+R604+R621+R647+R695+R719+R733+R765</f>
        <v>3294255</v>
      </c>
      <c r="S23" s="224">
        <f ca="1">S77+S99+S122+S144+S162+S178+S191+S271+S287+S308+S338+S380+S397+S418+S498+S604+S621+S647+S695+S719+S733+S765</f>
        <v>2656587.06</v>
      </c>
      <c r="T23" s="224">
        <f ca="1">IF(Q23&gt;0,S23*100/Q23,0)</f>
        <v>78.943873693180706</v>
      </c>
      <c r="U23" s="224">
        <f ca="1">IF(R23&gt;0,S23*100/R23,0)</f>
        <v>80.643030366501677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1235000</v>
      </c>
      <c r="M24" s="224">
        <f ca="1">M25+M26</f>
        <v>1124399</v>
      </c>
      <c r="N24" s="224">
        <f ca="1">N25+N26</f>
        <v>1124399</v>
      </c>
      <c r="O24" s="224">
        <f ca="1">IF(L24&gt;0,N24*100/L24,0)</f>
        <v>91.044453441295545</v>
      </c>
      <c r="P24" s="224">
        <f ca="1">IF(M24&gt;0,N24*100/M24,0)</f>
        <v>100</v>
      </c>
      <c r="Q24" s="224">
        <f ca="1">Q25+Q26</f>
        <v>688000</v>
      </c>
      <c r="R24" s="224">
        <f ca="1">R25+R26</f>
        <v>688000</v>
      </c>
      <c r="S24" s="224">
        <f ca="1">S25+S26</f>
        <v>298000</v>
      </c>
      <c r="T24" s="224">
        <f ca="1">IF(Q24&gt;0,S24*100/Q24,0)</f>
        <v>43.313953488372093</v>
      </c>
      <c r="U24" s="224">
        <f ca="1">IF(R24&gt;0,S24*100/R24,0)</f>
        <v>43.313953488372093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1235000</v>
      </c>
      <c r="M26" s="224">
        <f ca="1">M52+M67+M80+M102+M125+M147+M165+M194+M181+M274+M290+M311+M328+M341+M364+M383+M421+M501+M521+M542+M563+M584+M607+M624+M650+M698+M722+M736+M768</f>
        <v>1124399</v>
      </c>
      <c r="N26" s="224">
        <f ca="1">N52+N67+N80+N102+N125+N147+N165+N194+N181+N274+N290+N311+N328+N341+N364+N383+N421+N501+N521+N542+N563+N584+N607+N624+N650+N698+N722+N736+N768</f>
        <v>1124399</v>
      </c>
      <c r="O26" s="224">
        <f ca="1">IF(L26&gt;0,N26*100/L26,0)</f>
        <v>91.044453441295545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688000</v>
      </c>
      <c r="R26" s="83">
        <f ca="1">R80+R102+R125+R147+R165+R181+R194+R274+R290+R311+R341+R383+R400+R421+R501+R607+R624+R650+R698+R722+R736+R768</f>
        <v>688000</v>
      </c>
      <c r="S26" s="83">
        <f ca="1">S80+S102+S125+S147+S165+S181+S194+S274+S290+S311+S341+S383+S400+S421+S501+S607+S624+S650+S698+S722+S736+S768</f>
        <v>298000</v>
      </c>
      <c r="T26" s="224">
        <f ca="1">IF(Q26&gt;0,S26*100/Q26,0)</f>
        <v>43.313953488372093</v>
      </c>
      <c r="U26" s="224">
        <f ca="1">IF(R26&gt;0,S26*100/R26,0)</f>
        <v>43.313953488372093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4905330</v>
      </c>
      <c r="M40" s="790">
        <f ca="1">M44+M59+M72+M94+M125+M139+M157+M173+M186+M266+M282+M303+M320+M333+M356</f>
        <v>5269209.2300000004</v>
      </c>
      <c r="N40" s="790">
        <f ca="1">N44+N59+N72+N94+N125+N139+N157+N173+N186+N266+N282+N303+N320+N333+N356</f>
        <v>4816760.2699999996</v>
      </c>
      <c r="O40" s="790">
        <f ca="1">IF(L40&gt;0,N40*100/L40,0)</f>
        <v>98.194418520262644</v>
      </c>
      <c r="P40" s="790">
        <f ca="1">IF(M40&gt;0,N40*100/M40,0)</f>
        <v>91.413342301459508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724000</v>
      </c>
      <c r="M44" s="784">
        <f ca="1">M45+M46</f>
        <v>808950.23</v>
      </c>
      <c r="N44" s="784">
        <f ca="1">N45+N46</f>
        <v>739804.38</v>
      </c>
      <c r="O44" s="784">
        <f ca="1">IF(L44&gt;0,N44*100/L44,0)</f>
        <v>102.18292541436465</v>
      </c>
      <c r="P44" s="784">
        <f ca="1">IF(M44&gt;0,N44*100/M44,0)</f>
        <v>91.452397510289359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724000</v>
      </c>
      <c r="M46" s="778">
        <f ca="1">M49+M52</f>
        <v>808950.23</v>
      </c>
      <c r="N46" s="778">
        <f ca="1">N49+N52</f>
        <v>739804.38</v>
      </c>
      <c r="O46" s="778">
        <f ca="1">IF(L46&gt;0,N46*100/L46,0)</f>
        <v>102.18292541436465</v>
      </c>
      <c r="P46" s="778">
        <f ca="1">IF(M46&gt;0,N46*100/M46,0)</f>
        <v>91.452397510289359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724000</v>
      </c>
      <c r="M47" s="224">
        <f ca="1">M48+M49</f>
        <v>808950.23</v>
      </c>
      <c r="N47" s="224">
        <f ca="1">N48+N49</f>
        <v>739804.38</v>
      </c>
      <c r="O47" s="224">
        <f ca="1">IF(L47&gt;0,N47*100/L47,0)</f>
        <v>102.18292541436465</v>
      </c>
      <c r="P47" s="224">
        <f ca="1">IF(M47&gt;0,N47*100/M47,0)</f>
        <v>91.452397510289359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IFERROR(__xludf.DUMMYFUNCTION("IMPORTRANGE(""https://docs.google.com/spreadsheets/d/1-uDff_7J0KD5mKrp0Vvzr7lt3OU09vwQwhkpOPPYv2Y/edit?usp=sharing"",""งบพรบ!P15"")"),724000)</f>
        <v>724000</v>
      </c>
      <c r="M49" s="224">
        <f ca="1">IFERROR(__xludf.DUMMYFUNCTION("IMPORTRANGE(""https://docs.google.com/spreadsheets/d/1-uDff_7J0KD5mKrp0Vvzr7lt3OU09vwQwhkpOPPYv2Y/edit?usp=sharing"",""งบพรบ!V15"")"),808950.23)</f>
        <v>808950.23</v>
      </c>
      <c r="N49" s="224">
        <f ca="1">IFERROR(__xludf.DUMMYFUNCTION("IMPORTRANGE(""https://docs.google.com/spreadsheets/d/1-uDff_7J0KD5mKrp0Vvzr7lt3OU09vwQwhkpOPPYv2Y/edit?usp=sharing"",""งบพรบ!Y15"")"),739804.38)</f>
        <v>739804.38</v>
      </c>
      <c r="O49" s="224">
        <f ca="1">IF(L49&gt;0,N49*100/L49,0)</f>
        <v>102.18292541436465</v>
      </c>
      <c r="P49" s="224">
        <f ca="1">IF(M49&gt;0,N49*100/M49,0)</f>
        <v>91.452397510289359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IFERROR(__xludf.DUMMYFUNCTION("IMPORTRANGE(""https://docs.google.com/spreadsheets/d/1-uDff_7J0KD5mKrp0Vvzr7lt3OU09vwQwhkpOPPYv2Y/edit?usp=sharing"",""งบพรบ!S15"")"),0)</f>
        <v>0</v>
      </c>
      <c r="M52" s="224">
        <f ca="1">IFERROR(__xludf.DUMMYFUNCTION("IMPORTRANGE(""https://docs.google.com/spreadsheets/d/1-uDff_7J0KD5mKrp0Vvzr7lt3OU09vwQwhkpOPPYv2Y/edit?usp=sharing"",""งบพรบ!W15"")"),0)</f>
        <v>0</v>
      </c>
      <c r="N52" s="224">
        <f ca="1">IFERROR(__xludf.DUMMYFUNCTION("IMPORTRANGE(""https://docs.google.com/spreadsheets/d/1-uDff_7J0KD5mKrp0Vvzr7lt3OU09vwQwhkpOPPYv2Y/edit?usp=sharing"",""งบพรบ!Z15"")"),0)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1993100</v>
      </c>
      <c r="M59" s="772">
        <f ca="1">M60+M61</f>
        <v>1944089</v>
      </c>
      <c r="N59" s="772">
        <f ca="1">N60+N61</f>
        <v>1915488.75</v>
      </c>
      <c r="O59" s="772">
        <f ca="1">IF(L59&gt;0,N59*100/L59,0)</f>
        <v>96.106003211078217</v>
      </c>
      <c r="P59" s="772">
        <f ca="1">IF(M59&gt;0,N59*100/M59,0)</f>
        <v>98.528861075804656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1993100</v>
      </c>
      <c r="M61" s="766">
        <f ca="1">M64+M67</f>
        <v>1944089</v>
      </c>
      <c r="N61" s="766">
        <f ca="1">N64+N67</f>
        <v>1915488.75</v>
      </c>
      <c r="O61" s="766">
        <f ca="1">IF(L61&gt;0,N61*100/L61,0)</f>
        <v>96.106003211078217</v>
      </c>
      <c r="P61" s="766">
        <f ca="1">IF(M61&gt;0,N61*100/M61,0)</f>
        <v>98.528861075804656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758100</v>
      </c>
      <c r="M62" s="224">
        <f ca="1">M63+M64</f>
        <v>819690</v>
      </c>
      <c r="N62" s="224">
        <f ca="1">N63+N64</f>
        <v>791089.75</v>
      </c>
      <c r="O62" s="224">
        <f ca="1">IF(L62&gt;0,N62*100/L62,0)</f>
        <v>104.35163566811767</v>
      </c>
      <c r="P62" s="224">
        <f ca="1">IF(M62&gt;0,N62*100/M62,0)</f>
        <v>96.510845563566718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IFERROR(__xludf.DUMMYFUNCTION("IMPORTRANGE(""https://docs.google.com/spreadsheets/d/1-uDff_7J0KD5mKrp0Vvzr7lt3OU09vwQwhkpOPPYv2Y/edit?usp=sharing"",""งบพรบ!AC15"")"),758100)</f>
        <v>758100</v>
      </c>
      <c r="M64" s="224">
        <f ca="1">IFERROR(__xludf.DUMMYFUNCTION("IMPORTRANGE(""https://docs.google.com/spreadsheets/d/1-uDff_7J0KD5mKrp0Vvzr7lt3OU09vwQwhkpOPPYv2Y/edit?usp=sharing"",""งบพรบ!AH15"")"),819690)</f>
        <v>819690</v>
      </c>
      <c r="N64" s="224">
        <f ca="1">IFERROR(__xludf.DUMMYFUNCTION("IMPORTRANGE(""https://docs.google.com/spreadsheets/d/1-uDff_7J0KD5mKrp0Vvzr7lt3OU09vwQwhkpOPPYv2Y/edit?usp=sharing"",""งบพรบ!AJ15"")"),791089.75)</f>
        <v>791089.75</v>
      </c>
      <c r="O64" s="224">
        <f ca="1">IF(L64&gt;0,N64*100/L64,0)</f>
        <v>104.35163566811767</v>
      </c>
      <c r="P64" s="224">
        <f ca="1">IF(M64&gt;0,N64*100/M64,0)</f>
        <v>96.510845563566718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1235000</v>
      </c>
      <c r="M65" s="224">
        <f ca="1">M66+M67</f>
        <v>1124399</v>
      </c>
      <c r="N65" s="224">
        <f ca="1">N66+N67</f>
        <v>1124399</v>
      </c>
      <c r="O65" s="224">
        <f ca="1">IF(L65&gt;0,N65*100/L65,0)</f>
        <v>91.044453441295545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IFERROR(__xludf.DUMMYFUNCTION("IMPORTRANGE(""https://docs.google.com/spreadsheets/d/1-uDff_7J0KD5mKrp0Vvzr7lt3OU09vwQwhkpOPPYv2Y/edit?usp=sharing"",""งบพรบ!AF15"")"),1235000)</f>
        <v>1235000</v>
      </c>
      <c r="M67" s="508">
        <f ca="1">IFERROR(__xludf.DUMMYFUNCTION("IMPORTRANGE(""https://docs.google.com/spreadsheets/d/1-uDff_7J0KD5mKrp0Vvzr7lt3OU09vwQwhkpOPPYv2Y/edit?usp=sharing"",""งบพรบ!AI15"")"),1124399)</f>
        <v>1124399</v>
      </c>
      <c r="N67" s="508">
        <f ca="1">IFERROR(__xludf.DUMMYFUNCTION("IMPORTRANGE(""https://docs.google.com/spreadsheets/d/1-uDff_7J0KD5mKrp0Vvzr7lt3OU09vwQwhkpOPPYv2Y/edit?usp=sharing"",""งบพรบ!AK15"")"),1124399)</f>
        <v>1124399</v>
      </c>
      <c r="O67" s="508">
        <f ca="1">IF(L67&gt;0,N67*100/L67,0)</f>
        <v>91.044453441295545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60</v>
      </c>
      <c r="J71" s="756">
        <f>J83</f>
        <v>60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668300</v>
      </c>
      <c r="M72" s="547">
        <f ca="1">M73+M74</f>
        <v>668300</v>
      </c>
      <c r="N72" s="547">
        <f ca="1">N73+N74</f>
        <v>628433.34</v>
      </c>
      <c r="O72" s="547">
        <f ca="1">IF(L72&gt;0,N72*100/L72,0)</f>
        <v>94.034616190333679</v>
      </c>
      <c r="P72" s="547">
        <f ca="1">IF(M72&gt;0,N72*100/M72,0)</f>
        <v>94.034616190333679</v>
      </c>
      <c r="Q72" s="547">
        <f ca="1">Q73+Q74</f>
        <v>800860</v>
      </c>
      <c r="R72" s="547">
        <f ca="1">R73+R74</f>
        <v>800860</v>
      </c>
      <c r="S72" s="547">
        <f ca="1">S73+S74</f>
        <v>760449</v>
      </c>
      <c r="T72" s="547">
        <f ca="1">IF(Q72&gt;0,S72*100/Q72,0)</f>
        <v>94.954049396898341</v>
      </c>
      <c r="U72" s="547">
        <f ca="1">IF(R72&gt;0,S72*100/R72,0)</f>
        <v>94.954049396898341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668300</v>
      </c>
      <c r="M74" s="224">
        <f ca="1">M77+M80</f>
        <v>668300</v>
      </c>
      <c r="N74" s="224">
        <f ca="1">N77+N80</f>
        <v>628433.34</v>
      </c>
      <c r="O74" s="224">
        <f ca="1">IF(L74&gt;0,N74*100/L74,0)</f>
        <v>94.034616190333679</v>
      </c>
      <c r="P74" s="224">
        <f ca="1">IF(M74&gt;0,N74*100/M74,0)</f>
        <v>94.034616190333679</v>
      </c>
      <c r="Q74" s="224">
        <f ca="1">Q77+Q80</f>
        <v>800860</v>
      </c>
      <c r="R74" s="224">
        <f ca="1">R77+R80</f>
        <v>800860</v>
      </c>
      <c r="S74" s="224">
        <f ca="1">S77+S80</f>
        <v>760449</v>
      </c>
      <c r="T74" s="224">
        <f ca="1">IF(Q74&gt;0,S74*100/Q74,0)</f>
        <v>94.954049396898341</v>
      </c>
      <c r="U74" s="224">
        <f ca="1">IF(R74&gt;0,S74*100/R74,0)</f>
        <v>94.954049396898341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668300</v>
      </c>
      <c r="M75" s="224">
        <f ca="1">M76+M77</f>
        <v>668300</v>
      </c>
      <c r="N75" s="224">
        <f ca="1">N76+N77</f>
        <v>628433.34</v>
      </c>
      <c r="O75" s="224">
        <f ca="1">IF(L75&gt;0,N75*100/L75,0)</f>
        <v>94.034616190333679</v>
      </c>
      <c r="P75" s="224">
        <f ca="1">IF(M75&gt;0,N75*100/M75,0)</f>
        <v>94.034616190333679</v>
      </c>
      <c r="Q75" s="224">
        <f ca="1">Q76+Q77</f>
        <v>502860</v>
      </c>
      <c r="R75" s="224">
        <f ca="1">R76+R77</f>
        <v>502860</v>
      </c>
      <c r="S75" s="224">
        <f ca="1">S76+S77</f>
        <v>462449</v>
      </c>
      <c r="T75" s="224">
        <f ca="1">IF(Q75&gt;0,S75*100/Q75,0)</f>
        <v>91.963767251322437</v>
      </c>
      <c r="U75" s="224">
        <f ca="1">IF(R75&gt;0,S75*100/R75,0)</f>
        <v>91.963767251322437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IFERROR(__xludf.DUMMYFUNCTION("IMPORTRANGE(""https://docs.google.com/spreadsheets/d/1-uDff_7J0KD5mKrp0Vvzr7lt3OU09vwQwhkpOPPYv2Y/edit?usp=sharing"",""งบพรบ!AM15"")"),668300)</f>
        <v>668300</v>
      </c>
      <c r="M77" s="224">
        <f ca="1">IFERROR(__xludf.DUMMYFUNCTION("IMPORTRANGE(""https://docs.google.com/spreadsheets/d/1-uDff_7J0KD5mKrp0Vvzr7lt3OU09vwQwhkpOPPYv2Y/edit?usp=sharing"",""งบพรบ!AR15"")"),668300)</f>
        <v>668300</v>
      </c>
      <c r="N77" s="224">
        <f ca="1">IFERROR(__xludf.DUMMYFUNCTION("IMPORTRANGE(""https://docs.google.com/spreadsheets/d/1-uDff_7J0KD5mKrp0Vvzr7lt3OU09vwQwhkpOPPYv2Y/edit?usp=sharing"",""งบพรบ!AT15"")"),628433.34)</f>
        <v>628433.34</v>
      </c>
      <c r="O77" s="224">
        <f ca="1">IF(L77&gt;0,N77*100/L77,0)</f>
        <v>94.034616190333679</v>
      </c>
      <c r="P77" s="224">
        <f ca="1">IF(M77&gt;0,N77*100/M77,0)</f>
        <v>94.034616190333679</v>
      </c>
      <c r="Q77" s="224">
        <f ca="1">IFERROR(__xludf.DUMMYFUNCTION("IMPORTRANGE(""https://docs.google.com/spreadsheets/d/1ItG2mGa2ceCfYo0BwxsXqNm01IGEUdYcSSLTEv9YCik/edit?usp=sharing"",""เบิกจ่ายกองทุน!BH15"")"),502860)</f>
        <v>502860</v>
      </c>
      <c r="R77" s="224">
        <f ca="1">IFERROR(__xludf.DUMMYFUNCTION("IMPORTRANGE(""https://docs.google.com/spreadsheets/d/1ItG2mGa2ceCfYo0BwxsXqNm01IGEUdYcSSLTEv9YCik/edit?usp=sharing"",""เบิกจ่ายกองทุน!BI15"")"),502860)</f>
        <v>502860</v>
      </c>
      <c r="S77" s="224">
        <f ca="1">IFERROR(__xludf.DUMMYFUNCTION("IMPORTRANGE(""https://docs.google.com/spreadsheets/d/1ItG2mGa2ceCfYo0BwxsXqNm01IGEUdYcSSLTEv9YCik/edit?usp=sharing"",""เบิกจ่ายกองทุน!BJ15"")"),462449)</f>
        <v>462449</v>
      </c>
      <c r="T77" s="224">
        <f ca="1">IF(Q77&gt;0,S77*100/Q77,0)</f>
        <v>91.963767251322437</v>
      </c>
      <c r="U77" s="224">
        <f ca="1">IF(R77&gt;0,S77*100/R77,0)</f>
        <v>91.963767251322437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298000</v>
      </c>
      <c r="R78" s="224">
        <f ca="1">R79+R80</f>
        <v>298000</v>
      </c>
      <c r="S78" s="224">
        <f ca="1">S79+S80</f>
        <v>298000</v>
      </c>
      <c r="T78" s="224">
        <f ca="1">IF(Q78&gt;0,S78*100/Q78,0)</f>
        <v>100</v>
      </c>
      <c r="U78" s="224">
        <f ca="1">IF(R78&gt;0,S78*100/R78,0)</f>
        <v>100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IFERROR(__xludf.DUMMYFUNCTION("IMPORTRANGE(""https://docs.google.com/spreadsheets/d/1-uDff_7J0KD5mKrp0Vvzr7lt3OU09vwQwhkpOPPYv2Y/edit?usp=sharing"",""งบพรบ!AP15"")"),0)</f>
        <v>0</v>
      </c>
      <c r="M80" s="224">
        <f ca="1">IFERROR(__xludf.DUMMYFUNCTION("IMPORTRANGE(""https://docs.google.com/spreadsheets/d/1-uDff_7J0KD5mKrp0Vvzr7lt3OU09vwQwhkpOPPYv2Y/edit?usp=sharing"",""งบพรบ!AS15"")"),0)</f>
        <v>0</v>
      </c>
      <c r="N80" s="224">
        <f ca="1">IFERROR(__xludf.DUMMYFUNCTION("IMPORTRANGE(""https://docs.google.com/spreadsheets/d/1-uDff_7J0KD5mKrp0Vvzr7lt3OU09vwQwhkpOPPYv2Y/edit?usp=sharing"",""งบพรบ!AU15"")"),0)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IFERROR(__xludf.DUMMYFUNCTION("IMPORTRANGE(""https://docs.google.com/spreadsheets/d/1ItG2mGa2ceCfYo0BwxsXqNm01IGEUdYcSSLTEv9YCik/edit?usp=sharing"",""เบิกจ่ายกองทุน!BK15"")"),298000)</f>
        <v>298000</v>
      </c>
      <c r="R80" s="224">
        <f ca="1">IFERROR(__xludf.DUMMYFUNCTION("IMPORTRANGE(""https://docs.google.com/spreadsheets/d/1ItG2mGa2ceCfYo0BwxsXqNm01IGEUdYcSSLTEv9YCik/edit?usp=sharing"",""เบิกจ่ายกองทุน!BL15"")"),298000)</f>
        <v>298000</v>
      </c>
      <c r="S80" s="224">
        <f ca="1">IFERROR(__xludf.DUMMYFUNCTION("IMPORTRANGE(""https://docs.google.com/spreadsheets/d/1ItG2mGa2ceCfYo0BwxsXqNm01IGEUdYcSSLTEv9YCik/edit?usp=sharing"",""เบิกจ่ายกองทุน!BM15"")"),298000)</f>
        <v>298000</v>
      </c>
      <c r="T80" s="224">
        <f ca="1">IF(Q80&gt;0,S80*100/Q80,0)</f>
        <v>100</v>
      </c>
      <c r="U80" s="224">
        <f ca="1">IF(R80&gt;0,S80*100/R80,0)</f>
        <v>100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60</v>
      </c>
      <c r="J83" s="338">
        <f>J85+J87+J89</f>
        <v>60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IFERROR(__xludf.DUMMYFUNCTION("IMPORTRANGE(""https://docs.google.com/spreadsheets/d/1eHaY18a8A9IcSdp1K8H6x8fbOy06t2VsZHhMHf-1x7Y/edit?usp=sharing"",""แผน!H15"")"),0)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IFERROR(__xludf.DUMMYFUNCTION("IMPORTRANGE(""https://docs.google.com/spreadsheets/d/1eHaY18a8A9IcSdp1K8H6x8fbOy06t2VsZHhMHf-1x7Y/edit?usp=sharing"",""แผน!I15"")"),0)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IFERROR(__xludf.DUMMYFUNCTION("IMPORTRANGE(""https://docs.google.com/spreadsheets/d/1eHaY18a8A9IcSdp1K8H6x8fbOy06t2VsZHhMHf-1x7Y/edit?usp=sharing"",""แผน!F15"")"),0)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IFERROR(__xludf.DUMMYFUNCTION("IMPORTRANGE(""https://docs.google.com/spreadsheets/d/1eHaY18a8A9IcSdp1K8H6x8fbOy06t2VsZHhMHf-1x7Y/edit?usp=sharing"",""แผน!G15"")"),0)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IFERROR(__xludf.DUMMYFUNCTION("IMPORTRANGE(""https://docs.google.com/spreadsheets/d/1eHaY18a8A9IcSdp1K8H6x8fbOy06t2VsZHhMHf-1x7Y/edit?usp=sharing"",""แผน!D15"")"),1)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IFERROR(__xludf.DUMMYFUNCTION("IMPORTRANGE(""https://docs.google.com/spreadsheets/d/1eHaY18a8A9IcSdp1K8H6x8fbOy06t2VsZHhMHf-1x7Y/edit?usp=sharing"",""แผน!E15"")"),60)</f>
        <v>60</v>
      </c>
      <c r="J89" s="380">
        <v>60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IFERROR(__xludf.DUMMYFUNCTION("IMPORTRANGE(""https://docs.google.com/spreadsheets/d/1eHaY18a8A9IcSdp1K8H6x8fbOy06t2VsZHhMHf-1x7Y/edit?usp=sharing"",""แผน!J15"")"),1)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IFERROR(__xludf.DUMMYFUNCTION("IMPORTRANGE(""https://docs.google.com/spreadsheets/d/1-uDff_7J0KD5mKrp0Vvzr7lt3OU09vwQwhkpOPPYv2Y/edit?usp=sharing"",""งบพรบ!AW15"")"),0)</f>
        <v>0</v>
      </c>
      <c r="M99" s="224">
        <f ca="1">IFERROR(__xludf.DUMMYFUNCTION("IMPORTRANGE(""https://docs.google.com/spreadsheets/d/1-uDff_7J0KD5mKrp0Vvzr7lt3OU09vwQwhkpOPPYv2Y/edit?usp=sharing"",""งบพรบ!BB15"")"),0)</f>
        <v>0</v>
      </c>
      <c r="N99" s="224">
        <f ca="1">IFERROR(__xludf.DUMMYFUNCTION("IMPORTRANGE(""https://docs.google.com/spreadsheets/d/1-uDff_7J0KD5mKrp0Vvzr7lt3OU09vwQwhkpOPPYv2Y/edit?usp=sharing"",""งบพรบ!BD15"")"),0)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IFERROR(__xludf.DUMMYFUNCTION("IMPORTRANGE(""https://docs.google.com/spreadsheets/d/1ItG2mGa2ceCfYo0BwxsXqNm01IGEUdYcSSLTEv9YCik/edit?usp=sharing"",""เบิกจ่ายกองทุน!AJ15"")"),0)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IFERROR(__xludf.DUMMYFUNCTION("IMPORTRANGE(""https://docs.google.com/spreadsheets/d/1ItG2mGa2ceCfYo0BwxsXqNm01IGEUdYcSSLTEv9YCik/edit?usp=sharing"",""เบิกจ่ายกองทุน!AK15"")"),0)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IFERROR(__xludf.DUMMYFUNCTION("IMPORTRANGE(""https://docs.google.com/spreadsheets/d/1ItG2mGa2ceCfYo0BwxsXqNm01IGEUdYcSSLTEv9YCik/edit?usp=sharing"",""เบิกจ่ายกองทุน!AL15"")"),0)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IFERROR(__xludf.DUMMYFUNCTION("IMPORTRANGE(""https://docs.google.com/spreadsheets/d/1-uDff_7J0KD5mKrp0Vvzr7lt3OU09vwQwhkpOPPYv2Y/edit?usp=sharing"",""งบพรบ!AZ15"")"),0)</f>
        <v>0</v>
      </c>
      <c r="M102" s="224">
        <f ca="1">IFERROR(__xludf.DUMMYFUNCTION("IMPORTRANGE(""https://docs.google.com/spreadsheets/d/1-uDff_7J0KD5mKrp0Vvzr7lt3OU09vwQwhkpOPPYv2Y/edit?usp=sharing"",""งบพรบ!BC15"")"),0)</f>
        <v>0</v>
      </c>
      <c r="N102" s="224">
        <f ca="1">IFERROR(__xludf.DUMMYFUNCTION("IMPORTRANGE(""https://docs.google.com/spreadsheets/d/1-uDff_7J0KD5mKrp0Vvzr7lt3OU09vwQwhkpOPPYv2Y/edit?usp=sharing"",""งบพรบ!BE15"")"),0)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IFERROR(__xludf.DUMMYFUNCTION("IMPORTRANGE(""https://docs.google.com/spreadsheets/d/1eHaY18a8A9IcSdp1K8H6x8fbOy06t2VsZHhMHf-1x7Y/edit?usp=sharing"",""แผน!N15"")"),0)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IFERROR(__xludf.DUMMYFUNCTION("IMPORTRANGE(""https://docs.google.com/spreadsheets/d/1eHaY18a8A9IcSdp1K8H6x8fbOy06t2VsZHhMHf-1x7Y/edit?usp=sharing"",""แผน!O15"")"),0)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IFERROR(__xludf.DUMMYFUNCTION("IMPORTRANGE(""https://docs.google.com/spreadsheets/d/1eHaY18a8A9IcSdp1K8H6x8fbOy06t2VsZHhMHf-1x7Y/edit?usp=sharing"",""แผน!R15"")"),0)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60</v>
      </c>
      <c r="J116" s="756">
        <f>J127</f>
        <v>60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308920</v>
      </c>
      <c r="R117" s="547">
        <f ca="1">R118+R119</f>
        <v>308920</v>
      </c>
      <c r="S117" s="547">
        <f ca="1">S118+S119</f>
        <v>248760.01</v>
      </c>
      <c r="T117" s="547">
        <f ca="1">IF(Q117&gt;0,S117*100/Q117,0)</f>
        <v>80.525705684319561</v>
      </c>
      <c r="U117" s="547">
        <f ca="1">IF(R117&gt;0,S117*100/R117,0)</f>
        <v>80.525705684319561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308920</v>
      </c>
      <c r="R119" s="224">
        <f ca="1">R122+R125</f>
        <v>308920</v>
      </c>
      <c r="S119" s="224">
        <f ca="1">S122+S125</f>
        <v>248760.01</v>
      </c>
      <c r="T119" s="224">
        <f ca="1">IF(Q119&gt;0,S119*100/Q119,0)</f>
        <v>80.525705684319561</v>
      </c>
      <c r="U119" s="224">
        <f ca="1">IF(R119&gt;0,S119*100/R119,0)</f>
        <v>80.525705684319561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308920</v>
      </c>
      <c r="R120" s="224">
        <f ca="1">R121+R122</f>
        <v>308920</v>
      </c>
      <c r="S120" s="224">
        <f ca="1">S121+S122</f>
        <v>248760.01</v>
      </c>
      <c r="T120" s="224">
        <f ca="1">IF(Q120&gt;0,S120*100/Q120,0)</f>
        <v>80.525705684319561</v>
      </c>
      <c r="U120" s="224">
        <f ca="1">IF(R120&gt;0,S120*100/R120,0)</f>
        <v>80.525705684319561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IFERROR(__xludf.DUMMYFUNCTION("IMPORTRANGE(""https://docs.google.com/spreadsheets/d/1-uDff_7J0KD5mKrp0Vvzr7lt3OU09vwQwhkpOPPYv2Y/edit?usp=sharing"",""งบพรบ!BG15"")"),0)</f>
        <v>0</v>
      </c>
      <c r="M122" s="224">
        <f ca="1">IFERROR(__xludf.DUMMYFUNCTION("IMPORTRANGE(""https://docs.google.com/spreadsheets/d/1-uDff_7J0KD5mKrp0Vvzr7lt3OU09vwQwhkpOPPYv2Y/edit?usp=sharing"",""งบพรบ!BL15"")"),0)</f>
        <v>0</v>
      </c>
      <c r="N122" s="224">
        <f ca="1">IFERROR(__xludf.DUMMYFUNCTION("IMPORTRANGE(""https://docs.google.com/spreadsheets/d/1-uDff_7J0KD5mKrp0Vvzr7lt3OU09vwQwhkpOPPYv2Y/edit?usp=sharing"",""งบพรบ!BN15"")"),0)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IFERROR(__xludf.DUMMYFUNCTION("IMPORTRANGE(""https://docs.google.com/spreadsheets/d/1ItG2mGa2ceCfYo0BwxsXqNm01IGEUdYcSSLTEv9YCik/edit?usp=sharing"",""เบิกจ่ายกองทุน!U15"")"),308920)</f>
        <v>308920</v>
      </c>
      <c r="R122" s="224">
        <f ca="1">IFERROR(__xludf.DUMMYFUNCTION("IMPORTRANGE(""https://docs.google.com/spreadsheets/d/1ItG2mGa2ceCfYo0BwxsXqNm01IGEUdYcSSLTEv9YCik/edit?usp=sharing"",""เบิกจ่ายกองทุน!V15"")"),308920)</f>
        <v>308920</v>
      </c>
      <c r="S122" s="224">
        <f ca="1">IFERROR(__xludf.DUMMYFUNCTION("IMPORTRANGE(""https://docs.google.com/spreadsheets/d/1ItG2mGa2ceCfYo0BwxsXqNm01IGEUdYcSSLTEv9YCik/edit?usp=sharing"",""เบิกจ่ายกองทุน!W15"")"),248760.01)</f>
        <v>248760.01</v>
      </c>
      <c r="T122" s="224">
        <f ca="1">IF(Q122&gt;0,S122*100/Q122,0)</f>
        <v>80.525705684319561</v>
      </c>
      <c r="U122" s="224">
        <f ca="1">IF(R122&gt;0,S122*100/R122,0)</f>
        <v>80.525705684319561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IFERROR(__xludf.DUMMYFUNCTION("IMPORTRANGE(""https://docs.google.com/spreadsheets/d/1-uDff_7J0KD5mKrp0Vvzr7lt3OU09vwQwhkpOPPYv2Y/edit?usp=sharing"",""งบพรบ!BJ15"")"),0)</f>
        <v>0</v>
      </c>
      <c r="M125" s="224">
        <f ca="1">IFERROR(__xludf.DUMMYFUNCTION("IMPORTRANGE(""https://docs.google.com/spreadsheets/d/1-uDff_7J0KD5mKrp0Vvzr7lt3OU09vwQwhkpOPPYv2Y/edit?usp=sharing"",""งบพรบ!BM15"")"),0)</f>
        <v>0</v>
      </c>
      <c r="N125" s="224">
        <f ca="1">IFERROR(__xludf.DUMMYFUNCTION("IMPORTRANGE(""https://docs.google.com/spreadsheets/d/1-uDff_7J0KD5mKrp0Vvzr7lt3OU09vwQwhkpOPPYv2Y/edit?usp=sharing"",""งบพรบ!BO15"")"),0)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IFERROR(__xludf.DUMMYFUNCTION("IMPORTRANGE(""https://docs.google.com/spreadsheets/d/1ItG2mGa2ceCfYo0BwxsXqNm01IGEUdYcSSLTEv9YCik/edit?usp=sharing"",""เบิกจ่ายกองทุน!X15"")"),0)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IFERROR(__xludf.DUMMYFUNCTION("IMPORTRANGE(""https://docs.google.com/spreadsheets/d/1ItG2mGa2ceCfYo0BwxsXqNm01IGEUdYcSSLTEv9YCik/edit?usp=sharing"",""เบิกจ่ายกองทุน!Y15"")"),0)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IFERROR(__xludf.DUMMYFUNCTION("IMPORTRANGE(""https://docs.google.com/spreadsheets/d/1ItG2mGa2ceCfYo0BwxsXqNm01IGEUdYcSSLTEv9YCik/edit?usp=sharing"",""เบิกจ่ายกองทุน!Z15"")"),0)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IFERROR(__xludf.DUMMYFUNCTION("IMPORTRANGE(""https://docs.google.com/spreadsheets/d/1eHaY18a8A9IcSdp1K8H6x8fbOy06t2VsZHhMHf-1x7Y/edit?usp=sharing"",""แผน!FF15"")"),60)</f>
        <v>60</v>
      </c>
      <c r="J127" s="380">
        <v>60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IFERROR(__xludf.DUMMYFUNCTION("IMPORTRANGE(""https://docs.google.com/spreadsheets/d/1eHaY18a8A9IcSdp1K8H6x8fbOy06t2VsZHhMHf-1x7Y/edit?usp=sharing"",""แผน!FG15"")"),2)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IFERROR(__xludf.DUMMYFUNCTION("IMPORTRANGE(""https://docs.google.com/spreadsheets/d/1eHaY18a8A9IcSdp1K8H6x8fbOy06t2VsZHhMHf-1x7Y/edit?usp=sharing"",""แผน!FH15"")"),20)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IFERROR(__xludf.DUMMYFUNCTION("IMPORTRANGE(""https://docs.google.com/spreadsheets/d/1eHaY18a8A9IcSdp1K8H6x8fbOy06t2VsZHhMHf-1x7Y/edit?usp=sharing"",""แผน!FI15"")"),1)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3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80</v>
      </c>
      <c r="J137" s="756">
        <f>J152</f>
        <v>50</v>
      </c>
      <c r="K137" s="755">
        <f ca="1">IF(I137&gt;0,J137*100/I137,0)</f>
        <v>62.5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8</v>
      </c>
      <c r="J138" s="756">
        <f>J153</f>
        <v>8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116300</v>
      </c>
      <c r="M139" s="547">
        <f ca="1">M140+M141</f>
        <v>111300</v>
      </c>
      <c r="N139" s="547">
        <f ca="1">N140+N141</f>
        <v>78490</v>
      </c>
      <c r="O139" s="547">
        <f ca="1">IF(L139&gt;0,N139*100/L139,0)</f>
        <v>67.489251934651762</v>
      </c>
      <c r="P139" s="547">
        <f ca="1">IF(M139&gt;0,N139*100/M139,0)</f>
        <v>70.521114106019766</v>
      </c>
      <c r="Q139" s="547">
        <f ca="1">Q140+Q141</f>
        <v>439860</v>
      </c>
      <c r="R139" s="547">
        <f ca="1">R140+R141</f>
        <v>439860</v>
      </c>
      <c r="S139" s="547">
        <f ca="1">S140+S141</f>
        <v>43825</v>
      </c>
      <c r="T139" s="547">
        <f ca="1">IF(Q139&gt;0,S139*100/Q139,0)</f>
        <v>9.9633974446414761</v>
      </c>
      <c r="U139" s="547">
        <f ca="1">IF(R139&gt;0,S139*100/R139,0)</f>
        <v>9.9633974446414761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116300</v>
      </c>
      <c r="M141" s="224">
        <f ca="1">M144+M147</f>
        <v>111300</v>
      </c>
      <c r="N141" s="224">
        <f ca="1">N144+N147</f>
        <v>78490</v>
      </c>
      <c r="O141" s="224">
        <f ca="1">IF(L141&gt;0,N141*100/L141,0)</f>
        <v>67.489251934651762</v>
      </c>
      <c r="P141" s="224">
        <f ca="1">IF(M141&gt;0,N141*100/M141,0)</f>
        <v>70.521114106019766</v>
      </c>
      <c r="Q141" s="224">
        <f ca="1">Q144+Q147</f>
        <v>439860</v>
      </c>
      <c r="R141" s="224">
        <f ca="1">R144+R147</f>
        <v>439860</v>
      </c>
      <c r="S141" s="224">
        <f ca="1">S144+S147</f>
        <v>43825</v>
      </c>
      <c r="T141" s="224">
        <f ca="1">IF(Q141&gt;0,S141*100/Q141,0)</f>
        <v>9.9633974446414761</v>
      </c>
      <c r="U141" s="224">
        <f ca="1">IF(R141&gt;0,S141*100/R141,0)</f>
        <v>9.9633974446414761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116300</v>
      </c>
      <c r="M142" s="224">
        <f ca="1">M143+M144</f>
        <v>111300</v>
      </c>
      <c r="N142" s="224">
        <f ca="1">N143+N144</f>
        <v>78490</v>
      </c>
      <c r="O142" s="224">
        <f ca="1">IF(L142&gt;0,N142*100/L142,0)</f>
        <v>67.489251934651762</v>
      </c>
      <c r="P142" s="224">
        <f ca="1">IF(M142&gt;0,N142*100/M142,0)</f>
        <v>70.521114106019766</v>
      </c>
      <c r="Q142" s="224">
        <f ca="1">Q143+Q144</f>
        <v>49860</v>
      </c>
      <c r="R142" s="224">
        <f ca="1">R143+R144</f>
        <v>49860</v>
      </c>
      <c r="S142" s="224">
        <f ca="1">S143+S144</f>
        <v>43825</v>
      </c>
      <c r="T142" s="224">
        <f ca="1">IF(Q142&gt;0,S142*100/Q142,0)</f>
        <v>87.896109105495384</v>
      </c>
      <c r="U142" s="224">
        <f ca="1">IF(R142&gt;0,S142*100/R142,0)</f>
        <v>87.896109105495384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IFERROR(__xludf.DUMMYFUNCTION("IMPORTRANGE(""https://docs.google.com/spreadsheets/d/1-uDff_7J0KD5mKrp0Vvzr7lt3OU09vwQwhkpOPPYv2Y/edit?usp=sharing"",""งบพรบ!BQ15"")"),116300)</f>
        <v>116300</v>
      </c>
      <c r="M144" s="224">
        <f ca="1">IFERROR(__xludf.DUMMYFUNCTION("IMPORTRANGE(""https://docs.google.com/spreadsheets/d/1-uDff_7J0KD5mKrp0Vvzr7lt3OU09vwQwhkpOPPYv2Y/edit?usp=sharing"",""งบพรบ!BV15"")"),111300)</f>
        <v>111300</v>
      </c>
      <c r="N144" s="224">
        <f ca="1">IFERROR(__xludf.DUMMYFUNCTION("IMPORTRANGE(""https://docs.google.com/spreadsheets/d/1-uDff_7J0KD5mKrp0Vvzr7lt3OU09vwQwhkpOPPYv2Y/edit?usp=sharing"",""งบพรบ!BX15"")"),78490)</f>
        <v>78490</v>
      </c>
      <c r="O144" s="224">
        <f ca="1">IF(L144&gt;0,N144*100/L144,0)</f>
        <v>67.489251934651762</v>
      </c>
      <c r="P144" s="224">
        <f ca="1">IF(M144&gt;0,N144*100/M144,0)</f>
        <v>70.521114106019766</v>
      </c>
      <c r="Q144" s="224">
        <f ca="1">IFERROR(__xludf.DUMMYFUNCTION("IMPORTRANGE(""https://docs.google.com/spreadsheets/d/1ItG2mGa2ceCfYo0BwxsXqNm01IGEUdYcSSLTEv9YCik/edit?usp=sharing"",""เบิกจ่ายกองทุน!CF15"")"),49860)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IFERROR(__xludf.DUMMYFUNCTION("IMPORTRANGE(""https://docs.google.com/spreadsheets/d/1ItG2mGa2ceCfYo0BwxsXqNm01IGEUdYcSSLTEv9YCik/edit?usp=sharing"",""เบิกจ่ายกองทุน!CG15"")"),49860)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IFERROR(__xludf.DUMMYFUNCTION("IMPORTRANGE(""https://docs.google.com/spreadsheets/d/1ItG2mGa2ceCfYo0BwxsXqNm01IGEUdYcSSLTEv9YCik/edit?usp=sharing"",""เบิกจ่ายกองทุน!CH15"")"),43825)</f>
        <v>43825</v>
      </c>
      <c r="T144" s="224">
        <f ca="1">IF(Q144&gt;0,S144*100/Q144,0)</f>
        <v>87.896109105495384</v>
      </c>
      <c r="U144" s="224">
        <f ca="1">IF(R144&gt;0,S144*100/R144,0)</f>
        <v>87.896109105495384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390000</v>
      </c>
      <c r="R145" s="224">
        <f ca="1">R146+R147</f>
        <v>390000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IFERROR(__xludf.DUMMYFUNCTION("IMPORTRANGE(""https://docs.google.com/spreadsheets/d/1-uDff_7J0KD5mKrp0Vvzr7lt3OU09vwQwhkpOPPYv2Y/edit?usp=sharing"",""งบพรบ!BT15"")"),0)</f>
        <v>0</v>
      </c>
      <c r="M147" s="224">
        <f ca="1">IFERROR(__xludf.DUMMYFUNCTION("IMPORTRANGE(""https://docs.google.com/spreadsheets/d/1-uDff_7J0KD5mKrp0Vvzr7lt3OU09vwQwhkpOPPYv2Y/edit?usp=sharing"",""งบพรบ!BW15"")"),0)</f>
        <v>0</v>
      </c>
      <c r="N147" s="224">
        <f ca="1">IFERROR(__xludf.DUMMYFUNCTION("IMPORTRANGE(""https://docs.google.com/spreadsheets/d/1-uDff_7J0KD5mKrp0Vvzr7lt3OU09vwQwhkpOPPYv2Y/edit?usp=sharing"",""งบพรบ!BY15"")"),0)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IFERROR(__xludf.DUMMYFUNCTION("IMPORTRANGE(""https://docs.google.com/spreadsheets/d/1ItG2mGa2ceCfYo0BwxsXqNm01IGEUdYcSSLTEv9YCik/edit?usp=sharing"",""เบิกจ่ายกองทุน!CI15"")"),390000)</f>
        <v>390000</v>
      </c>
      <c r="R147" s="224">
        <f ca="1">IFERROR(__xludf.DUMMYFUNCTION("IMPORTRANGE(""https://docs.google.com/spreadsheets/d/1ItG2mGa2ceCfYo0BwxsXqNm01IGEUdYcSSLTEv9YCik/edit?usp=sharing"",""เบิกจ่ายกองทุน!CJ15"")"),390000)</f>
        <v>390000</v>
      </c>
      <c r="S147" s="224">
        <f ca="1">IFERROR(__xludf.DUMMYFUNCTION("IMPORTRANGE(""https://docs.google.com/spreadsheets/d/1ItG2mGa2ceCfYo0BwxsXqNm01IGEUdYcSSLTEv9YCik/edit?usp=sharing"",""เบิกจ่ายกองทุน!CK15"")"),0)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1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IFERROR(__xludf.DUMMYFUNCTION("IMPORTRANGE(""https://docs.google.com/spreadsheets/d/1eHaY18a8A9IcSdp1K8H6x8fbOy06t2VsZHhMHf-1x7Y/edit?usp=sharing"",""แผน!U15"")"),30)</f>
        <v>30</v>
      </c>
      <c r="J150" s="380">
        <v>30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IFERROR(__xludf.DUMMYFUNCTION("IMPORTRANGE(""https://docs.google.com/spreadsheets/d/1eHaY18a8A9IcSdp1K8H6x8fbOy06t2VsZHhMHf-1x7Y/edit?usp=sharing"",""แผน!V15"")"),3)</f>
        <v>3</v>
      </c>
      <c r="J151" s="380">
        <v>3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IFERROR(__xludf.DUMMYFUNCTION("IMPORTRANGE(""https://docs.google.com/spreadsheets/d/1eHaY18a8A9IcSdp1K8H6x8fbOy06t2VsZHhMHf-1x7Y/edit?usp=sharing"",""แผน!W15"")"),80)</f>
        <v>80</v>
      </c>
      <c r="J152" s="380">
        <v>50</v>
      </c>
      <c r="K152" s="224">
        <f ca="1">IF(I152&gt;0,J152*100/I152,0)</f>
        <v>62.5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IFERROR(__xludf.DUMMYFUNCTION("IMPORTRANGE(""https://docs.google.com/spreadsheets/d/1eHaY18a8A9IcSdp1K8H6x8fbOy06t2VsZHhMHf-1x7Y/edit?usp=sharing"",""แผน!X15"")"),8)</f>
        <v>8</v>
      </c>
      <c r="J153" s="380">
        <v>8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IFERROR(__xludf.DUMMYFUNCTION("IMPORTRANGE(""https://docs.google.com/spreadsheets/d/1eHaY18a8A9IcSdp1K8H6x8fbOy06t2VsZHhMHf-1x7Y/edit?usp=sharing"",""แผน!Y15"")"),3)</f>
        <v>3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17</v>
      </c>
      <c r="K156" s="755">
        <f ca="1">IF(I156&gt;0,J156*100/I156,0)</f>
        <v>113.33333333333333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2250</v>
      </c>
      <c r="N157" s="547">
        <f ca="1">N158+N159</f>
        <v>2250</v>
      </c>
      <c r="O157" s="547">
        <f ca="1">IF(L157&gt;0,N157*100/L157,0)</f>
        <v>50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2250</v>
      </c>
      <c r="N159" s="224">
        <f ca="1">N162+N165</f>
        <v>2250</v>
      </c>
      <c r="O159" s="224">
        <f ca="1">IF(L159&gt;0,N159*100/L159,0)</f>
        <v>50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2250</v>
      </c>
      <c r="N160" s="224">
        <f ca="1">N161+N162</f>
        <v>2250</v>
      </c>
      <c r="O160" s="224">
        <f ca="1">IF(L160&gt;0,N160*100/L160,0)</f>
        <v>50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IFERROR(__xludf.DUMMYFUNCTION("IMPORTRANGE(""https://docs.google.com/spreadsheets/d/1-uDff_7J0KD5mKrp0Vvzr7lt3OU09vwQwhkpOPPYv2Y/edit?usp=sharing"",""งบพรบ!CA15"")"),4500)</f>
        <v>4500</v>
      </c>
      <c r="M162" s="224">
        <f ca="1">IFERROR(__xludf.DUMMYFUNCTION("IMPORTRANGE(""https://docs.google.com/spreadsheets/d/1-uDff_7J0KD5mKrp0Vvzr7lt3OU09vwQwhkpOPPYv2Y/edit?usp=sharing"",""งบพรบ!CF15"")"),2250)</f>
        <v>2250</v>
      </c>
      <c r="N162" s="224">
        <f ca="1">IFERROR(__xludf.DUMMYFUNCTION("IMPORTRANGE(""https://docs.google.com/spreadsheets/d/1-uDff_7J0KD5mKrp0Vvzr7lt3OU09vwQwhkpOPPYv2Y/edit?usp=sharing"",""งบพรบ!CH15"")"),2250)</f>
        <v>2250</v>
      </c>
      <c r="O162" s="224">
        <f ca="1">IF(L162&gt;0,N162*100/L162,0)</f>
        <v>50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IFERROR(__xludf.DUMMYFUNCTION("IMPORTRANGE(""https://docs.google.com/spreadsheets/d/1ItG2mGa2ceCfYo0BwxsXqNm01IGEUdYcSSLTEv9YCik/edit?usp=sharing"",""เบิกจ่ายกองทุน!AM15"")"),0)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IFERROR(__xludf.DUMMYFUNCTION("IMPORTRANGE(""https://docs.google.com/spreadsheets/d/1ItG2mGa2ceCfYo0BwxsXqNm01IGEUdYcSSLTEv9YCik/edit?usp=sharing"",""เบิกจ่ายกองทุน!AO15"")"),0)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IFERROR(__xludf.DUMMYFUNCTION("IMPORTRANGE(""https://docs.google.com/spreadsheets/d/1-uDff_7J0KD5mKrp0Vvzr7lt3OU09vwQwhkpOPPYv2Y/edit?usp=sharing"",""งบพรบ!CD15"")"),0)</f>
        <v>0</v>
      </c>
      <c r="M165" s="224">
        <f ca="1">IFERROR(__xludf.DUMMYFUNCTION("IMPORTRANGE(""https://docs.google.com/spreadsheets/d/1-uDff_7J0KD5mKrp0Vvzr7lt3OU09vwQwhkpOPPYv2Y/edit?usp=sharing"",""งบพรบ!CG15"")"),0)</f>
        <v>0</v>
      </c>
      <c r="N165" s="224">
        <f ca="1">IFERROR(__xludf.DUMMYFUNCTION("IMPORTRANGE(""https://docs.google.com/spreadsheets/d/1-uDff_7J0KD5mKrp0Vvzr7lt3OU09vwQwhkpOPPYv2Y/edit?usp=sharing"",""งบพรบ!CI15"")"),0)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IFERROR(__xludf.DUMMYFUNCTION("IMPORTRANGE(""https://docs.google.com/spreadsheets/d/1eHaY18a8A9IcSdp1K8H6x8fbOy06t2VsZHhMHf-1x7Y/edit?usp=sharing"",""แผน!Z15"")"),15)</f>
        <v>15</v>
      </c>
      <c r="J167" s="380">
        <v>17</v>
      </c>
      <c r="K167" s="224">
        <f ca="1">IF(I167&gt;0,J167*100/I167,0)</f>
        <v>113.33333333333333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111760</v>
      </c>
      <c r="N173" s="547">
        <f ca="1">N174+N175</f>
        <v>96020</v>
      </c>
      <c r="O173" s="547">
        <f ca="1">IF(L173&gt;0,N173*100/L173,0)</f>
        <v>490.14803471158757</v>
      </c>
      <c r="P173" s="547">
        <f ca="1">IF(M173&gt;0,N173*100/M173,0)</f>
        <v>85.916249105225489</v>
      </c>
      <c r="Q173" s="547">
        <f ca="1">Q174+Q175</f>
        <v>22960</v>
      </c>
      <c r="R173" s="547">
        <f ca="1">R174+R175</f>
        <v>22960</v>
      </c>
      <c r="S173" s="547">
        <f ca="1">S174+S175</f>
        <v>22400</v>
      </c>
      <c r="T173" s="547">
        <f ca="1">IF(Q173&gt;0,S173*100/Q173,0)</f>
        <v>97.560975609756099</v>
      </c>
      <c r="U173" s="547">
        <f ca="1">IF(R173&gt;0,S173*100/R173,0)</f>
        <v>97.560975609756099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111760</v>
      </c>
      <c r="N175" s="224">
        <f ca="1">N178+N181</f>
        <v>96020</v>
      </c>
      <c r="O175" s="224">
        <f ca="1">IF(L175&gt;0,N175*100/L175,0)</f>
        <v>490.14803471158757</v>
      </c>
      <c r="P175" s="224">
        <f ca="1">IF(M175&gt;0,N175*100/M175,0)</f>
        <v>85.916249105225489</v>
      </c>
      <c r="Q175" s="224">
        <f ca="1">Q178+Q181</f>
        <v>22960</v>
      </c>
      <c r="R175" s="224">
        <f ca="1">R178+R181</f>
        <v>22960</v>
      </c>
      <c r="S175" s="224">
        <f ca="1">S178+S181</f>
        <v>22400</v>
      </c>
      <c r="T175" s="224">
        <f ca="1">IF(Q175&gt;0,S175*100/Q175,0)</f>
        <v>97.560975609756099</v>
      </c>
      <c r="U175" s="224">
        <f ca="1">IF(R175&gt;0,S175*100/R175,0)</f>
        <v>97.560975609756099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111760</v>
      </c>
      <c r="N176" s="224">
        <f ca="1">N177+N178</f>
        <v>96020</v>
      </c>
      <c r="O176" s="224">
        <f ca="1">IF(L176&gt;0,N176*100/L176,0)</f>
        <v>490.14803471158757</v>
      </c>
      <c r="P176" s="224">
        <f ca="1">IF(M176&gt;0,N176*100/M176,0)</f>
        <v>85.916249105225489</v>
      </c>
      <c r="Q176" s="224">
        <f ca="1">Q177+Q178</f>
        <v>22960</v>
      </c>
      <c r="R176" s="224">
        <f ca="1">R177+R178</f>
        <v>22960</v>
      </c>
      <c r="S176" s="224">
        <f ca="1">S177+S178</f>
        <v>22400</v>
      </c>
      <c r="T176" s="224">
        <f ca="1">IF(Q176&gt;0,S176*100/Q176,0)</f>
        <v>97.560975609756099</v>
      </c>
      <c r="U176" s="224">
        <f ca="1">IF(R176&gt;0,S176*100/R176,0)</f>
        <v>97.560975609756099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IFERROR(__xludf.DUMMYFUNCTION("IMPORTRANGE(""https://docs.google.com/spreadsheets/d/1-uDff_7J0KD5mKrp0Vvzr7lt3OU09vwQwhkpOPPYv2Y/edit?usp=sharing"",""งบพรบ!CK15"")"),19590)</f>
        <v>19590</v>
      </c>
      <c r="M178" s="224">
        <f ca="1">IFERROR(__xludf.DUMMYFUNCTION("IMPORTRANGE(""https://docs.google.com/spreadsheets/d/1-uDff_7J0KD5mKrp0Vvzr7lt3OU09vwQwhkpOPPYv2Y/edit?usp=sharing"",""งบพรบ!CP15"")"),111760)</f>
        <v>111760</v>
      </c>
      <c r="N178" s="224">
        <f ca="1">IFERROR(__xludf.DUMMYFUNCTION("IMPORTRANGE(""https://docs.google.com/spreadsheets/d/1-uDff_7J0KD5mKrp0Vvzr7lt3OU09vwQwhkpOPPYv2Y/edit?usp=sharing"",""งบพรบ!CR15"")"),96020)</f>
        <v>96020</v>
      </c>
      <c r="O178" s="224">
        <f ca="1">IF(L178&gt;0,N178*100/L178,0)</f>
        <v>490.14803471158757</v>
      </c>
      <c r="P178" s="224">
        <f ca="1">IF(M178&gt;0,N178*100/M178,0)</f>
        <v>85.916249105225489</v>
      </c>
      <c r="Q178" s="224">
        <f ca="1">IFERROR(__xludf.DUMMYFUNCTION("IMPORTRANGE(""https://docs.google.com/spreadsheets/d/1ItG2mGa2ceCfYo0BwxsXqNm01IGEUdYcSSLTEv9YCik/edit?usp=sharing"",""เบิกจ่ายกองทุน!DG15"")"),22960)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IFERROR(__xludf.DUMMYFUNCTION("IMPORTRANGE(""https://docs.google.com/spreadsheets/d/1ItG2mGa2ceCfYo0BwxsXqNm01IGEUdYcSSLTEv9YCik/edit?usp=sharing"",""เบิกจ่ายกองทุน!DH15"")"),22960)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IFERROR(__xludf.DUMMYFUNCTION("IMPORTRANGE(""https://docs.google.com/spreadsheets/d/1ItG2mGa2ceCfYo0BwxsXqNm01IGEUdYcSSLTEv9YCik/edit?usp=sharing"",""เบิกจ่ายกองทุน!DI15"")"),22400)</f>
        <v>22400</v>
      </c>
      <c r="T178" s="224">
        <f ca="1">IF(Q178&gt;0,S178*100/Q178,0)</f>
        <v>97.560975609756099</v>
      </c>
      <c r="U178" s="224">
        <f ca="1">IF(R178&gt;0,S178*100/R178,0)</f>
        <v>97.560975609756099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IFERROR(__xludf.DUMMYFUNCTION("IMPORTRANGE(""https://docs.google.com/spreadsheets/d/1-uDff_7J0KD5mKrp0Vvzr7lt3OU09vwQwhkpOPPYv2Y/edit?usp=sharing"",""งบพรบ!CN15"")"),0)</f>
        <v>0</v>
      </c>
      <c r="M181" s="224">
        <f ca="1">IFERROR(__xludf.DUMMYFUNCTION("IMPORTRANGE(""https://docs.google.com/spreadsheets/d/1-uDff_7J0KD5mKrp0Vvzr7lt3OU09vwQwhkpOPPYv2Y/edit?usp=sharing"",""งบพรบ!CQ15"")"),0)</f>
        <v>0</v>
      </c>
      <c r="N181" s="224">
        <f ca="1">IFERROR(__xludf.DUMMYFUNCTION("IMPORTRANGE(""https://docs.google.com/spreadsheets/d/1-uDff_7J0KD5mKrp0Vvzr7lt3OU09vwQwhkpOPPYv2Y/edit?usp=sharing"",""งบพรบ!CS15"")"),0)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IFERROR(__xludf.DUMMYFUNCTION("IMPORTRANGE(""https://docs.google.com/spreadsheets/d/1eHaY18a8A9IcSdp1K8H6x8fbOy06t2VsZHhMHf-1x7Y/edit?usp=sharing"",""แผน!AA15"")"),17)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34500</v>
      </c>
      <c r="M186" s="547">
        <f ca="1">M187+M188</f>
        <v>45200</v>
      </c>
      <c r="N186" s="547">
        <f ca="1">N187+N188</f>
        <v>48043</v>
      </c>
      <c r="O186" s="547">
        <f ca="1">IF(L186&gt;0,N186*100/L186,0)</f>
        <v>139.25507246376813</v>
      </c>
      <c r="P186" s="547">
        <f ca="1">IF(M186&gt;0,N186*100/M186,0)</f>
        <v>106.28982300884955</v>
      </c>
      <c r="Q186" s="547">
        <f ca="1">Q187+Q188</f>
        <v>56000</v>
      </c>
      <c r="R186" s="547">
        <f ca="1">R187+R188</f>
        <v>56000</v>
      </c>
      <c r="S186" s="547">
        <f ca="1">S187+S188</f>
        <v>54120</v>
      </c>
      <c r="T186" s="547">
        <f ca="1">IF(Q186&gt;0,S186*100/Q186,0)</f>
        <v>96.642857142857139</v>
      </c>
      <c r="U186" s="547">
        <f ca="1">IF(R186&gt;0,S186*100/R186,0)</f>
        <v>96.642857142857139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34500</v>
      </c>
      <c r="M188" s="224">
        <f ca="1">M191+M194</f>
        <v>45200</v>
      </c>
      <c r="N188" s="224">
        <f ca="1">N191+N194</f>
        <v>48043</v>
      </c>
      <c r="O188" s="224">
        <f ca="1">IF(L188&gt;0,N188*100/L188,0)</f>
        <v>139.25507246376813</v>
      </c>
      <c r="P188" s="224">
        <f ca="1">IF(M188&gt;0,N188*100/M188,0)</f>
        <v>106.28982300884955</v>
      </c>
      <c r="Q188" s="224">
        <f ca="1">Q191+Q194</f>
        <v>56000</v>
      </c>
      <c r="R188" s="224">
        <f ca="1">R191+R194</f>
        <v>56000</v>
      </c>
      <c r="S188" s="224">
        <f ca="1">S191+S194</f>
        <v>54120</v>
      </c>
      <c r="T188" s="224">
        <f ca="1">IF(Q188&gt;0,S188*100/Q188,0)</f>
        <v>96.642857142857139</v>
      </c>
      <c r="U188" s="224">
        <f ca="1">IF(R188&gt;0,S188*100/R188,0)</f>
        <v>96.642857142857139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34500</v>
      </c>
      <c r="M189" s="224">
        <f ca="1">M190+M191</f>
        <v>45200</v>
      </c>
      <c r="N189" s="224">
        <f ca="1">N190+N191</f>
        <v>48043</v>
      </c>
      <c r="O189" s="224">
        <f ca="1">IF(L189&gt;0,N189*100/L189,0)</f>
        <v>139.25507246376813</v>
      </c>
      <c r="P189" s="224">
        <f ca="1">IF(M189&gt;0,N189*100/M189,0)</f>
        <v>106.28982300884955</v>
      </c>
      <c r="Q189" s="224">
        <f ca="1">Q190+Q191</f>
        <v>56000</v>
      </c>
      <c r="R189" s="224">
        <f ca="1">R190+R191</f>
        <v>56000</v>
      </c>
      <c r="S189" s="224">
        <f ca="1">S190+S191</f>
        <v>54120</v>
      </c>
      <c r="T189" s="224">
        <f ca="1">IF(Q189&gt;0,S189*100/Q189,0)</f>
        <v>96.642857142857139</v>
      </c>
      <c r="U189" s="224">
        <f ca="1">IF(R189&gt;0,S189*100/R189,0)</f>
        <v>96.642857142857139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IFERROR(__xludf.DUMMYFUNCTION("IMPORTRANGE(""https://docs.google.com/spreadsheets/d/1-uDff_7J0KD5mKrp0Vvzr7lt3OU09vwQwhkpOPPYv2Y/edit?usp=sharing"",""งบพรบ!CU15"")"),34500)</f>
        <v>34500</v>
      </c>
      <c r="M191" s="224">
        <f ca="1">IFERROR(__xludf.DUMMYFUNCTION("IMPORTRANGE(""https://docs.google.com/spreadsheets/d/1-uDff_7J0KD5mKrp0Vvzr7lt3OU09vwQwhkpOPPYv2Y/edit?usp=sharing"",""งบพรบ!CZ15"")"),45200)</f>
        <v>45200</v>
      </c>
      <c r="N191" s="224">
        <f ca="1">IFERROR(__xludf.DUMMYFUNCTION("IMPORTRANGE(""https://docs.google.com/spreadsheets/d/1-uDff_7J0KD5mKrp0Vvzr7lt3OU09vwQwhkpOPPYv2Y/edit?usp=sharing"",""งบพรบ!DB15"")"),48043)</f>
        <v>48043</v>
      </c>
      <c r="O191" s="224">
        <f ca="1">IF(L191&gt;0,N191*100/L191,0)</f>
        <v>139.25507246376813</v>
      </c>
      <c r="P191" s="224">
        <f ca="1">IF(M191&gt;0,N191*100/M191,0)</f>
        <v>106.28982300884955</v>
      </c>
      <c r="Q191" s="224">
        <f ca="1">IFERROR(__xludf.DUMMYFUNCTION("IMPORTRANGE(""https://docs.google.com/spreadsheets/d/1ItG2mGa2ceCfYo0BwxsXqNm01IGEUdYcSSLTEv9YCik/edit?usp=sharing"",""เบิกจ่ายกองทุน!BQ15"")"),56000)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IFERROR(__xludf.DUMMYFUNCTION("IMPORTRANGE(""https://docs.google.com/spreadsheets/d/1ItG2mGa2ceCfYo0BwxsXqNm01IGEUdYcSSLTEv9YCik/edit?usp=sharing"",""เบิกจ่ายกองทุน!BR15"")"),56000)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IFERROR(__xludf.DUMMYFUNCTION("IMPORTRANGE(""https://docs.google.com/spreadsheets/d/1ItG2mGa2ceCfYo0BwxsXqNm01IGEUdYcSSLTEv9YCik/edit?usp=sharing"",""เบิกจ่ายกองทุน!BS15"")"),54120)</f>
        <v>54120</v>
      </c>
      <c r="T191" s="224">
        <f ca="1">IF(Q191&gt;0,S191*100/Q191,0)</f>
        <v>96.642857142857139</v>
      </c>
      <c r="U191" s="224">
        <f ca="1">IF(R191&gt;0,S191*100/R191,0)</f>
        <v>96.642857142857139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IFERROR(__xludf.DUMMYFUNCTION("IMPORTRANGE(""https://docs.google.com/spreadsheets/d/1-uDff_7J0KD5mKrp0Vvzr7lt3OU09vwQwhkpOPPYv2Y/edit?usp=sharing"",""งบพรบ!CX15"")"),0)</f>
        <v>0</v>
      </c>
      <c r="M194" s="224">
        <f ca="1">IFERROR(__xludf.DUMMYFUNCTION("IMPORTRANGE(""https://docs.google.com/spreadsheets/d/1-uDff_7J0KD5mKrp0Vvzr7lt3OU09vwQwhkpOPPYv2Y/edit?usp=sharing"",""งบพรบ!DA15"")"),0)</f>
        <v>0</v>
      </c>
      <c r="N194" s="224">
        <f ca="1">IFERROR(__xludf.DUMMYFUNCTION("IMPORTRANGE(""https://docs.google.com/spreadsheets/d/1-uDff_7J0KD5mKrp0Vvzr7lt3OU09vwQwhkpOPPYv2Y/edit?usp=sharing"",""งบพรบ!DC15"")"),0)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IFERROR(__xludf.DUMMYFUNCTION("IMPORTRANGE(""https://docs.google.com/spreadsheets/d/1ItG2mGa2ceCfYo0BwxsXqNm01IGEUdYcSSLTEv9YCik/edit?usp=sharing"",""เบิกจ่ายกองทุน!BT15"")"),0)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IFERROR(__xludf.DUMMYFUNCTION("IMPORTRANGE(""https://docs.google.com/spreadsheets/d/1ItG2mGa2ceCfYo0BwxsXqNm01IGEUdYcSSLTEv9YCik/edit?usp=sharing"",""เบิกจ่ายกองทุน!BU15"")"),0)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IFERROR(__xludf.DUMMYFUNCTION("IMPORTRANGE(""https://docs.google.com/spreadsheets/d/1ItG2mGa2ceCfYo0BwxsXqNm01IGEUdYcSSLTEv9YCik/edit?usp=sharing"",""เบิกจ่ายกองทุน!BV15"")"),0)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IFERROR(__xludf.DUMMYFUNCTION("IMPORTRANGE(""https://docs.google.com/spreadsheets/d/1eHaY18a8A9IcSdp1K8H6x8fbOy06t2VsZHhMHf-1x7Y/edit?usp=sharing"",""แผน!AB15"")"),6000)</f>
        <v>6000</v>
      </c>
      <c r="M196" s="45"/>
      <c r="N196" s="749">
        <v>1540</v>
      </c>
      <c r="O196" s="547">
        <f ca="1">IF(L196&gt;0,N196*100/L196,0)</f>
        <v>25.666666666666668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IFERROR(__xludf.DUMMYFUNCTION("IMPORTRANGE(""https://docs.google.com/spreadsheets/d/1eHaY18a8A9IcSdp1K8H6x8fbOy06t2VsZHhMHf-1x7Y/edit?usp=sharing"",""แผน!AE15"")"),4)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46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46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17740</v>
      </c>
      <c r="O203" s="547">
        <f ca="1">IF(L203&gt;0,N203*100/L203,0)</f>
        <v>88.7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54120</v>
      </c>
      <c r="T203" s="747">
        <f ca="1">IF(Q203&gt;0,S203*100/Q203,0)</f>
        <v>96.642857142857139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IFERROR(__xludf.DUMMYFUNCTION("IMPORTRANGE(""https://docs.google.com/spreadsheets/d/1eHaY18a8A9IcSdp1K8H6x8fbOy06t2VsZHhMHf-1x7Y/edit?usp=sharing"",""แผน!AG15"")"),4000)</f>
        <v>4000</v>
      </c>
      <c r="M204" s="45"/>
      <c r="N204" s="737">
        <v>1740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IFERROR(__xludf.DUMMYFUNCTION("IMPORTRANGE(""https://docs.google.com/spreadsheets/d/1eHaY18a8A9IcSdp1K8H6x8fbOy06t2VsZHhMHf-1x7Y/edit?usp=sharing"",""แผน!AH15"")"),0)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IFERROR(__xludf.DUMMYFUNCTION("IMPORTRANGE(""https://docs.google.com/spreadsheets/d/1eHaY18a8A9IcSdp1K8H6x8fbOy06t2VsZHhMHf-1x7Y/edit?usp=sharing"",""แผน!AI15"")"),0)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IFERROR(__xludf.DUMMYFUNCTION("IMPORTRANGE(""https://docs.google.com/spreadsheets/d/1eHaY18a8A9IcSdp1K8H6x8fbOy06t2VsZHhMHf-1x7Y/edit?usp=sharing"",""แผน!LV15"")"),56000)</f>
        <v>56000</v>
      </c>
      <c r="R206" s="45"/>
      <c r="S206" s="737">
        <v>54120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IFERROR(__xludf.DUMMYFUNCTION("IMPORTRANGE(""https://docs.google.com/spreadsheets/d/1eHaY18a8A9IcSdp1K8H6x8fbOy06t2VsZHhMHf-1x7Y/edit?usp=sharing"",""แผน!AJ15"")"),16000)</f>
        <v>16000</v>
      </c>
      <c r="M207" s="45"/>
      <c r="N207" s="737">
        <v>16000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IFERROR(__xludf.DUMMYFUNCTION("IMPORTRANGE(""https://docs.google.com/spreadsheets/d/1eHaY18a8A9IcSdp1K8H6x8fbOy06t2VsZHhMHf-1x7Y/edit?usp=sharing"",""แผน!AK15"")"),4)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IFERROR(__xludf.DUMMYFUNCTION("IMPORTRANGE(""https://docs.google.com/spreadsheets/d/1eHaY18a8A9IcSdp1K8H6x8fbOy06t2VsZHhMHf-1x7Y/edit?usp=sharing"",""แผน!JX15"")"),4)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IFERROR(__xludf.DUMMYFUNCTION("IMPORTRANGE(""https://docs.google.com/spreadsheets/d/1eHaY18a8A9IcSdp1K8H6x8fbOy06t2VsZHhMHf-1x7Y/edit?usp=sharing"",""แผน!JY15"")"),0)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IFERROR(__xludf.DUMMYFUNCTION("IMPORTRANGE(""https://docs.google.com/spreadsheets/d/1eHaY18a8A9IcSdp1K8H6x8fbOy06t2VsZHhMHf-1x7Y/edit?usp=sharing"",""แผน!AM15"")"),0)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IFERROR(__xludf.DUMMYFUNCTION("IMPORTRANGE(""https://docs.google.com/spreadsheets/d/1eHaY18a8A9IcSdp1K8H6x8fbOy06t2VsZHhMHf-1x7Y/edit?usp=sharing"",""แผน!AN15"")"),0)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IFERROR(__xludf.DUMMYFUNCTION("IMPORTRANGE(""https://docs.google.com/spreadsheets/d/1eHaY18a8A9IcSdp1K8H6x8fbOy06t2VsZHhMHf-1x7Y/edit?usp=sharing"",""แผน!AO15"")"),0)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IFERROR(__xludf.DUMMYFUNCTION("IMPORTRANGE(""https://docs.google.com/spreadsheets/d/1eHaY18a8A9IcSdp1K8H6x8fbOy06t2VsZHhMHf-1x7Y/edit?usp=sharing"",""แผน!LY15"")"),0)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IFERROR(__xludf.DUMMYFUNCTION("IMPORTRANGE(""https://docs.google.com/spreadsheets/d/1eHaY18a8A9IcSdp1K8H6x8fbOy06t2VsZHhMHf-1x7Y/edit?usp=sharing"",""แผน!AP15"")"),0)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IFERROR(__xludf.DUMMYFUNCTION("IMPORTRANGE(""https://docs.google.com/spreadsheets/d/1eHaY18a8A9IcSdp1K8H6x8fbOy06t2VsZHhMHf-1x7Y/edit?usp=sharing"",""แผน!AP15"")"),0)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60000</v>
      </c>
      <c r="J221" s="302">
        <f>J229</f>
        <v>60000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4500</v>
      </c>
      <c r="O222" s="547">
        <f ca="1">IF(L222&gt;0,N222*100/L222,0)</f>
        <v>52.941176470588232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IFERROR(__xludf.DUMMYFUNCTION("IMPORTRANGE(""https://docs.google.com/spreadsheets/d/1eHaY18a8A9IcSdp1K8H6x8fbOy06t2VsZHhMHf-1x7Y/edit?usp=sharing"",""แผน!AR15"")"),2500)</f>
        <v>2500</v>
      </c>
      <c r="M223" s="45"/>
      <c r="N223" s="737">
        <v>1400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IFERROR(__xludf.DUMMYFUNCTION("IMPORTRANGE(""https://docs.google.com/spreadsheets/d/1eHaY18a8A9IcSdp1K8H6x8fbOy06t2VsZHhMHf-1x7Y/edit?usp=sharing"",""แผน!AS15"")"),6000)</f>
        <v>6000</v>
      </c>
      <c r="M224" s="45"/>
      <c r="N224" s="737">
        <v>3100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IFERROR(__xludf.DUMMYFUNCTION("IMPORTRANGE(""https://docs.google.com/spreadsheets/d/1eHaY18a8A9IcSdp1K8H6x8fbOy06t2VsZHhMHf-1x7Y/edit?usp=sharing"",""แผน!AT15"")"),0)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IFERROR(__xludf.DUMMYFUNCTION("IMPORTRANGE(""https://docs.google.com/spreadsheets/d/1eHaY18a8A9IcSdp1K8H6x8fbOy06t2VsZHhMHf-1x7Y/edit?usp=sharing"",""แผน!AV15"")"),60000)</f>
        <v>60000</v>
      </c>
      <c r="J228" s="380">
        <v>60000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IFERROR(__xludf.DUMMYFUNCTION("IMPORTRANGE(""https://docs.google.com/spreadsheets/d/1eHaY18a8A9IcSdp1K8H6x8fbOy06t2VsZHhMHf-1x7Y/edit?usp=sharing"",""แผน!AV15"")"),60000)</f>
        <v>60000</v>
      </c>
      <c r="J229" s="380">
        <v>60000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IFERROR(__xludf.DUMMYFUNCTION("IMPORTRANGE(""https://docs.google.com/spreadsheets/d/1eHaY18a8A9IcSdp1K8H6x8fbOy06t2VsZHhMHf-1x7Y/edit?usp=sharing"",""แผน!AU15"")"),0)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IFERROR(__xludf.DUMMYFUNCTION("IMPORTRANGE(""https://docs.google.com/spreadsheets/d/1eHaY18a8A9IcSdp1K8H6x8fbOy06t2VsZHhMHf-1x7Y/edit?usp=sharing"",""แผน!AX15"")"),0)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IFERROR(__xludf.DUMMYFUNCTION("IMPORTRANGE(""https://docs.google.com/spreadsheets/d/1eHaY18a8A9IcSdp1K8H6x8fbOy06t2VsZHhMHf-1x7Y/edit?usp=sharing"",""แผน!AY15"")"),0)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IFERROR(__xludf.DUMMYFUNCTION("IMPORTRANGE(""https://docs.google.com/spreadsheets/d/1eHaY18a8A9IcSdp1K8H6x8fbOy06t2VsZHhMHf-1x7Y/edit?usp=sharing"",""แผน!AZ15"")"),0)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IFERROR(__xludf.DUMMYFUNCTION("IMPORTRANGE(""https://docs.google.com/spreadsheets/d/1eHaY18a8A9IcSdp1K8H6x8fbOy06t2VsZHhMHf-1x7Y/edit?usp=sharing"",""แผน!BA15"")"),0)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IFERROR(__xludf.DUMMYFUNCTION("IMPORTRANGE(""https://docs.google.com/spreadsheets/d/1eHaY18a8A9IcSdp1K8H6x8fbOy06t2VsZHhMHf-1x7Y/edit?usp=sharing"",""แผน!BG15"")"),0)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IFERROR(__xludf.DUMMYFUNCTION("IMPORTRANGE(""https://docs.google.com/spreadsheets/d/1eHaY18a8A9IcSdp1K8H6x8fbOy06t2VsZHhMHf-1x7Y/edit?usp=sharing"",""แผน!BB15"")"),0)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IFERROR(__xludf.DUMMYFUNCTION("IMPORTRANGE(""https://docs.google.com/spreadsheets/d/1eHaY18a8A9IcSdp1K8H6x8fbOy06t2VsZHhMHf-1x7Y/edit?usp=sharing"",""แผน!BC15"")"),0)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IFERROR(__xludf.DUMMYFUNCTION("IMPORTRANGE(""https://docs.google.com/spreadsheets/d/1eHaY18a8A9IcSdp1K8H6x8fbOy06t2VsZHhMHf-1x7Y/edit?usp=sharing"",""แผน!BD15"")"),0)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IFERROR(__xludf.DUMMYFUNCTION("IMPORTRANGE(""https://docs.google.com/spreadsheets/d/1eHaY18a8A9IcSdp1K8H6x8fbOy06t2VsZHhMHf-1x7Y/edit?usp=sharing"",""แผน!BE15"")"),0)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IFERROR(__xludf.DUMMYFUNCTION("IMPORTRANGE(""https://docs.google.com/spreadsheets/d/1eHaY18a8A9IcSdp1K8H6x8fbOy06t2VsZHhMHf-1x7Y/edit?usp=sharing"",""แผน!BH15"")"),0)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22800</v>
      </c>
      <c r="N266" s="715">
        <f ca="1">N267+N268</f>
        <v>22800</v>
      </c>
      <c r="O266" s="715">
        <f ca="1">IF(L266&gt;0,N266*100/L266,0)</f>
        <v>456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46780</v>
      </c>
      <c r="S266" s="715">
        <f ca="1">S267+S268</f>
        <v>43610</v>
      </c>
      <c r="T266" s="715">
        <f ca="1">IF(Q266&gt;0,S266*100/Q266,0)</f>
        <v>81.605538922155688</v>
      </c>
      <c r="U266" s="715">
        <f ca="1">IF(R266&gt;0,S266*100/R266,0)</f>
        <v>93.22359982898675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22800</v>
      </c>
      <c r="N268" s="558">
        <f ca="1">N271+N274</f>
        <v>22800</v>
      </c>
      <c r="O268" s="558">
        <f ca="1">IF(L268&gt;0,N268*100/L268,0)</f>
        <v>456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46780</v>
      </c>
      <c r="S268" s="558">
        <f ca="1">S271+S274</f>
        <v>43610</v>
      </c>
      <c r="T268" s="558">
        <f ca="1">IF(Q268&gt;0,S268*100/Q268,0)</f>
        <v>81.605538922155688</v>
      </c>
      <c r="U268" s="558">
        <f ca="1">IF(R268&gt;0,S268*100/R268,0)</f>
        <v>93.22359982898675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22800</v>
      </c>
      <c r="N269" s="558">
        <f ca="1">N270+N271</f>
        <v>22800</v>
      </c>
      <c r="O269" s="558">
        <f ca="1">IF(L269&gt;0,N269*100/L269,0)</f>
        <v>456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46780</v>
      </c>
      <c r="S269" s="558">
        <f ca="1">S270+S271</f>
        <v>43610</v>
      </c>
      <c r="T269" s="558">
        <f ca="1">IF(Q269&gt;0,S269*100/Q269,0)</f>
        <v>81.605538922155688</v>
      </c>
      <c r="U269" s="558">
        <f ca="1">IF(R269&gt;0,S269*100/R269,0)</f>
        <v>93.22359982898675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IFERROR(__xludf.DUMMYFUNCTION("IMPORTRANGE(""https://docs.google.com/spreadsheets/d/1-uDff_7J0KD5mKrp0Vvzr7lt3OU09vwQwhkpOPPYv2Y/edit?usp=sharing"",""งบพรบ!DE15"")"),5000)</f>
        <v>5000</v>
      </c>
      <c r="M271" s="558">
        <f ca="1">IFERROR(__xludf.DUMMYFUNCTION("IMPORTRANGE(""https://docs.google.com/spreadsheets/d/1-uDff_7J0KD5mKrp0Vvzr7lt3OU09vwQwhkpOPPYv2Y/edit?usp=sharing"",""งบพรบ!DJ15"")"),22800)</f>
        <v>22800</v>
      </c>
      <c r="N271" s="558">
        <f ca="1">IFERROR(__xludf.DUMMYFUNCTION("IMPORTRANGE(""https://docs.google.com/spreadsheets/d/1-uDff_7J0KD5mKrp0Vvzr7lt3OU09vwQwhkpOPPYv2Y/edit?usp=sharing"",""งบพรบ!DL15"")"),22800)</f>
        <v>22800</v>
      </c>
      <c r="O271" s="558">
        <f ca="1">IF(L271&gt;0,N271*100/L271,0)</f>
        <v>456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IFERROR(__xludf.DUMMYFUNCTION("IMPORTRANGE(""https://docs.google.com/spreadsheets/d/1ItG2mGa2ceCfYo0BwxsXqNm01IGEUdYcSSLTEv9YCik/edit?usp=sharing"",""เบิกจ่ายกองทุน!AP15"")"),53440)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IFERROR(__xludf.DUMMYFUNCTION("IMPORTRANGE(""https://docs.google.com/spreadsheets/d/1ItG2mGa2ceCfYo0BwxsXqNm01IGEUdYcSSLTEv9YCik/edit?usp=sharing"",""เบิกจ่ายกองทุน!AQ15"")"),46780)</f>
        <v>46780</v>
      </c>
      <c r="S271" s="558">
        <f ca="1">IFERROR(__xludf.DUMMYFUNCTION("IMPORTRANGE(""https://docs.google.com/spreadsheets/d/1ItG2mGa2ceCfYo0BwxsXqNm01IGEUdYcSSLTEv9YCik/edit?usp=sharing"",""เบิกจ่ายกองทุน!AR15"")"),43610)</f>
        <v>43610</v>
      </c>
      <c r="T271" s="558">
        <f ca="1">IF(Q271&gt;0,S271*100/Q271,0)</f>
        <v>81.605538922155688</v>
      </c>
      <c r="U271" s="558">
        <f ca="1">IF(R271&gt;0,S271*100/R271,0)</f>
        <v>93.22359982898675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IFERROR(__xludf.DUMMYFUNCTION("IMPORTRANGE(""https://docs.google.com/spreadsheets/d/1-uDff_7J0KD5mKrp0Vvzr7lt3OU09vwQwhkpOPPYv2Y/edit?usp=sharing"",""งบพรบ!DH15"")"),0)</f>
        <v>0</v>
      </c>
      <c r="M274" s="558">
        <f ca="1">IFERROR(__xludf.DUMMYFUNCTION("IMPORTRANGE(""https://docs.google.com/spreadsheets/d/1-uDff_7J0KD5mKrp0Vvzr7lt3OU09vwQwhkpOPPYv2Y/edit?usp=sharing"",""งบพรบ!DK15"")"),0)</f>
        <v>0</v>
      </c>
      <c r="N274" s="558">
        <f ca="1">IFERROR(__xludf.DUMMYFUNCTION("IMPORTRANGE(""https://docs.google.com/spreadsheets/d/1-uDff_7J0KD5mKrp0Vvzr7lt3OU09vwQwhkpOPPYv2Y/edit?usp=sharing"",""งบพรบ!DM15"")"),0)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IFERROR(__xludf.DUMMYFUNCTION("IMPORTRANGE(""https://docs.google.com/spreadsheets/d/1eHaY18a8A9IcSdp1K8H6x8fbOy06t2VsZHhMHf-1x7Y/edit?usp=sharing"",""แผน!EC15"")"),24)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30</v>
      </c>
      <c r="J280" s="697">
        <f>J293</f>
        <v>30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300</v>
      </c>
      <c r="J281" s="697">
        <f>J292</f>
        <v>300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85120</v>
      </c>
      <c r="M282" s="547">
        <f ca="1">M283+M284</f>
        <v>101640</v>
      </c>
      <c r="N282" s="547">
        <f ca="1">N283+N284</f>
        <v>94265</v>
      </c>
      <c r="O282" s="547">
        <f ca="1">IF(L282&gt;0,N282*100/L282,0)</f>
        <v>110.7436560150376</v>
      </c>
      <c r="P282" s="547">
        <f ca="1">IF(M282&gt;0,N282*100/M282,0)</f>
        <v>92.743998425816613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85120</v>
      </c>
      <c r="M284" s="224">
        <f ca="1">M287+M290</f>
        <v>101640</v>
      </c>
      <c r="N284" s="224">
        <f ca="1">N287+N290</f>
        <v>94265</v>
      </c>
      <c r="O284" s="224">
        <f ca="1">IF(L284&gt;0,N284*100/L284,0)</f>
        <v>110.7436560150376</v>
      </c>
      <c r="P284" s="224">
        <f ca="1">IF(M284&gt;0,N284*100/M284,0)</f>
        <v>92.743998425816613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85120</v>
      </c>
      <c r="M285" s="224">
        <f ca="1">M286+M287</f>
        <v>101640</v>
      </c>
      <c r="N285" s="224">
        <f ca="1">N286+N287</f>
        <v>94265</v>
      </c>
      <c r="O285" s="224">
        <f ca="1">IF(L285&gt;0,N285*100/L285,0)</f>
        <v>110.7436560150376</v>
      </c>
      <c r="P285" s="224">
        <f ca="1">IF(M285&gt;0,N285*100/M285,0)</f>
        <v>92.743998425816613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IFERROR(__xludf.DUMMYFUNCTION("IMPORTRANGE(""https://docs.google.com/spreadsheets/d/1-uDff_7J0KD5mKrp0Vvzr7lt3OU09vwQwhkpOPPYv2Y/edit?usp=sharing"",""งบพรบ!DO15"")"),85120)</f>
        <v>85120</v>
      </c>
      <c r="M287" s="224">
        <f ca="1">IFERROR(__xludf.DUMMYFUNCTION("IMPORTRANGE(""https://docs.google.com/spreadsheets/d/1-uDff_7J0KD5mKrp0Vvzr7lt3OU09vwQwhkpOPPYv2Y/edit?usp=sharing"",""งบพรบ!DT15"")"),101640)</f>
        <v>101640</v>
      </c>
      <c r="N287" s="224">
        <f ca="1">IFERROR(__xludf.DUMMYFUNCTION("IMPORTRANGE(""https://docs.google.com/spreadsheets/d/1-uDff_7J0KD5mKrp0Vvzr7lt3OU09vwQwhkpOPPYv2Y/edit?usp=sharing"",""งบพรบ!DV15"")"),94265)</f>
        <v>94265</v>
      </c>
      <c r="O287" s="224">
        <f ca="1">IF(L287&gt;0,N287*100/L287,0)</f>
        <v>110.7436560150376</v>
      </c>
      <c r="P287" s="224">
        <f ca="1">IF(M287&gt;0,N287*100/M287,0)</f>
        <v>92.743998425816613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IFERROR(__xludf.DUMMYFUNCTION("IMPORTRANGE(""https://docs.google.com/spreadsheets/d/1-uDff_7J0KD5mKrp0Vvzr7lt3OU09vwQwhkpOPPYv2Y/edit?usp=sharing"",""งบพรบ!DR15"")"),0)</f>
        <v>0</v>
      </c>
      <c r="M290" s="224">
        <f ca="1">IFERROR(__xludf.DUMMYFUNCTION("IMPORTRANGE(""https://docs.google.com/spreadsheets/d/1-uDff_7J0KD5mKrp0Vvzr7lt3OU09vwQwhkpOPPYv2Y/edit?usp=sharing"",""งบพรบ!DU15"")"),0)</f>
        <v>0</v>
      </c>
      <c r="N290" s="224">
        <f ca="1">IFERROR(__xludf.DUMMYFUNCTION("IMPORTRANGE(""https://docs.google.com/spreadsheets/d/1-uDff_7J0KD5mKrp0Vvzr7lt3OU09vwQwhkpOPPYv2Y/edit?usp=sharing"",""งบพรบ!DW15"")"),0)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IFERROR(__xludf.DUMMYFUNCTION("IMPORTRANGE(""https://docs.google.com/spreadsheets/d/1eHaY18a8A9IcSdp1K8H6x8fbOy06t2VsZHhMHf-1x7Y/edit?usp=sharing"",""แผน!EE15"")"),300)</f>
        <v>300</v>
      </c>
      <c r="J292" s="380">
        <v>300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IFERROR(__xludf.DUMMYFUNCTION("IMPORTRANGE(""https://docs.google.com/spreadsheets/d/1eHaY18a8A9IcSdp1K8H6x8fbOy06t2VsZHhMHf-1x7Y/edit?usp=sharing"",""แผน!ED15"")"),30)</f>
        <v>30</v>
      </c>
      <c r="J293" s="338">
        <f>J296</f>
        <v>30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IFERROR(__xludf.DUMMYFUNCTION("IMPORTRANGE(""https://docs.google.com/spreadsheets/d/1eHaY18a8A9IcSdp1K8H6x8fbOy06t2VsZHhMHf-1x7Y/edit?usp=sharing"",""แผน!ED15"")"),30)</f>
        <v>30</v>
      </c>
      <c r="J295" s="380">
        <v>30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IFERROR(__xludf.DUMMYFUNCTION("IMPORTRANGE(""https://docs.google.com/spreadsheets/d/1eHaY18a8A9IcSdp1K8H6x8fbOy06t2VsZHhMHf-1x7Y/edit?usp=sharing"",""แผน!ED15"")"),30)</f>
        <v>30</v>
      </c>
      <c r="J296" s="380">
        <v>30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IFERROR(__xludf.DUMMYFUNCTION("IMPORTRANGE(""https://docs.google.com/spreadsheets/d/1eHaY18a8A9IcSdp1K8H6x8fbOy06t2VsZHhMHf-1x7Y/edit?usp=sharing"",""แผน!ED15"")"),30)</f>
        <v>30</v>
      </c>
      <c r="J298" s="380">
        <v>30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IFERROR(__xludf.DUMMYFUNCTION("IMPORTRANGE(""https://docs.google.com/spreadsheets/d/1eHaY18a8A9IcSdp1K8H6x8fbOy06t2VsZHhMHf-1x7Y/edit?usp=sharing"",""แผน!ED15"")"),30)</f>
        <v>30</v>
      </c>
      <c r="J299" s="380">
        <v>30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410500</v>
      </c>
      <c r="M303" s="547">
        <f ca="1">M304+M305</f>
        <v>410500</v>
      </c>
      <c r="N303" s="547">
        <f ca="1">N304+N305</f>
        <v>409109.66</v>
      </c>
      <c r="O303" s="547">
        <f ca="1">IF(L303&gt;0,N303*100/L303,0)</f>
        <v>99.661305724725949</v>
      </c>
      <c r="P303" s="547">
        <f ca="1">IF(M303&gt;0,N303*100/M303,0)</f>
        <v>99.661305724725949</v>
      </c>
      <c r="Q303" s="547">
        <f ca="1">Q304+Q305</f>
        <v>144609.24</v>
      </c>
      <c r="R303" s="547">
        <f ca="1">R304+R305</f>
        <v>185640</v>
      </c>
      <c r="S303" s="547">
        <f ca="1">S304+S305</f>
        <v>136692</v>
      </c>
      <c r="T303" s="547">
        <f ca="1">IF(Q303&gt;0,S303*100/Q303,0)</f>
        <v>94.525080140107235</v>
      </c>
      <c r="U303" s="547">
        <f ca="1">IF(R303&gt;0,S303*100/R303,0)</f>
        <v>73.632837750484811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410500</v>
      </c>
      <c r="M305" s="224">
        <f ca="1">M308+M311</f>
        <v>410500</v>
      </c>
      <c r="N305" s="224">
        <f ca="1">N308+N311</f>
        <v>409109.66</v>
      </c>
      <c r="O305" s="224">
        <f ca="1">IF(L305&gt;0,N305*100/L305,0)</f>
        <v>99.661305724725949</v>
      </c>
      <c r="P305" s="224">
        <f ca="1">IF(M305&gt;0,N305*100/M305,0)</f>
        <v>99.661305724725949</v>
      </c>
      <c r="Q305" s="224">
        <f ca="1">Q308+Q311</f>
        <v>144609.24</v>
      </c>
      <c r="R305" s="224">
        <f ca="1">R308+R311</f>
        <v>185640</v>
      </c>
      <c r="S305" s="224">
        <f ca="1">S308+S311</f>
        <v>136692</v>
      </c>
      <c r="T305" s="224">
        <f ca="1">IF(Q305&gt;0,S305*100/Q305,0)</f>
        <v>94.525080140107235</v>
      </c>
      <c r="U305" s="224">
        <f ca="1">IF(R305&gt;0,S305*100/R305,0)</f>
        <v>73.632837750484811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410500</v>
      </c>
      <c r="M306" s="224">
        <f ca="1">M307+M308</f>
        <v>410500</v>
      </c>
      <c r="N306" s="224">
        <f ca="1">N307+N308</f>
        <v>409109.66</v>
      </c>
      <c r="O306" s="224">
        <f ca="1">IF(L306&gt;0,N306*100/L306,0)</f>
        <v>99.661305724725949</v>
      </c>
      <c r="P306" s="224">
        <f ca="1">IF(M306&gt;0,N306*100/M306,0)</f>
        <v>99.661305724725949</v>
      </c>
      <c r="Q306" s="224">
        <f ca="1">Q307+Q308</f>
        <v>144609.24</v>
      </c>
      <c r="R306" s="224">
        <f ca="1">R307+R308</f>
        <v>185640</v>
      </c>
      <c r="S306" s="224">
        <f ca="1">S307+S308</f>
        <v>136692</v>
      </c>
      <c r="T306" s="224">
        <f ca="1">IF(Q306&gt;0,S306*100/Q306,0)</f>
        <v>94.525080140107235</v>
      </c>
      <c r="U306" s="224">
        <f ca="1">IF(R306&gt;0,S306*100/R306,0)</f>
        <v>73.632837750484811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IFERROR(__xludf.DUMMYFUNCTION("IMPORTRANGE(""https://docs.google.com/spreadsheets/d/1-uDff_7J0KD5mKrp0Vvzr7lt3OU09vwQwhkpOPPYv2Y/edit?usp=sharing"",""งบพรบ!DY15"")"),410500)</f>
        <v>410500</v>
      </c>
      <c r="M308" s="224">
        <f ca="1">IFERROR(__xludf.DUMMYFUNCTION("IMPORTRANGE(""https://docs.google.com/spreadsheets/d/1-uDff_7J0KD5mKrp0Vvzr7lt3OU09vwQwhkpOPPYv2Y/edit?usp=sharing"",""งบพรบ!ED15"")"),410500)</f>
        <v>410500</v>
      </c>
      <c r="N308" s="224">
        <f ca="1">IFERROR(__xludf.DUMMYFUNCTION("IMPORTRANGE(""https://docs.google.com/spreadsheets/d/1-uDff_7J0KD5mKrp0Vvzr7lt3OU09vwQwhkpOPPYv2Y/edit?usp=sharing"",""งบพรบ!EF15"")"),409109.66)</f>
        <v>409109.66</v>
      </c>
      <c r="O308" s="224">
        <f ca="1">IF(L308&gt;0,N308*100/L308,0)</f>
        <v>99.661305724725949</v>
      </c>
      <c r="P308" s="224">
        <f ca="1">IF(M308&gt;0,N308*100/M308,0)</f>
        <v>99.661305724725949</v>
      </c>
      <c r="Q308" s="224">
        <f ca="1">IFERROR(__xludf.DUMMYFUNCTION("IMPORTRANGE(""https://docs.google.com/spreadsheets/d/1ItG2mGa2ceCfYo0BwxsXqNm01IGEUdYcSSLTEv9YCik/edit?usp=sharing"",""เบิกจ่ายกองทุน!BB15"")"),144609.24)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IFERROR(__xludf.DUMMYFUNCTION("IMPORTRANGE(""https://docs.google.com/spreadsheets/d/1ItG2mGa2ceCfYo0BwxsXqNm01IGEUdYcSSLTEv9YCik/edit?usp=sharing"",""เบิกจ่ายกองทุน!BC15"")"),185640)</f>
        <v>185640</v>
      </c>
      <c r="S308" s="224">
        <f ca="1">IFERROR(__xludf.DUMMYFUNCTION("IMPORTRANGE(""https://docs.google.com/spreadsheets/d/1ItG2mGa2ceCfYo0BwxsXqNm01IGEUdYcSSLTEv9YCik/edit?usp=sharing"",""เบิกจ่ายกองทุน!BD15"")"),136692)</f>
        <v>136692</v>
      </c>
      <c r="T308" s="224">
        <f ca="1">IF(Q308&gt;0,S308*100/Q308,0)</f>
        <v>94.525080140107235</v>
      </c>
      <c r="U308" s="224">
        <f ca="1">IF(R308&gt;0,S308*100/R308,0)</f>
        <v>73.632837750484811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IFERROR(__xludf.DUMMYFUNCTION("IMPORTRANGE(""https://docs.google.com/spreadsheets/d/1-uDff_7J0KD5mKrp0Vvzr7lt3OU09vwQwhkpOPPYv2Y/edit?usp=sharing"",""งบพรบ!EB15"")"),0)</f>
        <v>0</v>
      </c>
      <c r="M311" s="224">
        <f ca="1">IFERROR(__xludf.DUMMYFUNCTION("IMPORTRANGE(""https://docs.google.com/spreadsheets/d/1-uDff_7J0KD5mKrp0Vvzr7lt3OU09vwQwhkpOPPYv2Y/edit?usp=sharing"",""งบพรบ!EE15"")"),0)</f>
        <v>0</v>
      </c>
      <c r="N311" s="224">
        <f ca="1">IFERROR(__xludf.DUMMYFUNCTION("IMPORTRANGE(""https://docs.google.com/spreadsheets/d/1-uDff_7J0KD5mKrp0Vvzr7lt3OU09vwQwhkpOPPYv2Y/edit?usp=sharing"",""งบพรบ!EG15"")"),0)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IFERROR(__xludf.DUMMYFUNCTION("IMPORTRANGE(""https://docs.google.com/spreadsheets/d/1eHaY18a8A9IcSdp1K8H6x8fbOy06t2VsZHhMHf-1x7Y/edit?usp=sharing"",""แผน!EF15"")"),20)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IFERROR(__xludf.DUMMYFUNCTION("IMPORTRANGE(""https://docs.google.com/spreadsheets/d/1-uDff_7J0KD5mKrp0Vvzr7lt3OU09vwQwhkpOPPYv2Y/edit?usp=sharing"",""งบพรบ!EI15"")"),0)</f>
        <v>0</v>
      </c>
      <c r="M325" s="224">
        <f ca="1">IFERROR(__xludf.DUMMYFUNCTION("IMPORTRANGE(""https://docs.google.com/spreadsheets/d/1-uDff_7J0KD5mKrp0Vvzr7lt3OU09vwQwhkpOPPYv2Y/edit?usp=sharing"",""งบพรบ!EN15"")"),0)</f>
        <v>0</v>
      </c>
      <c r="N325" s="224">
        <f ca="1">IFERROR(__xludf.DUMMYFUNCTION("IMPORTRANGE(""https://docs.google.com/spreadsheets/d/1-uDff_7J0KD5mKrp0Vvzr7lt3OU09vwQwhkpOPPYv2Y/edit?usp=sharing"",""งบพรบ!EP15"")"),0)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IFERROR(__xludf.DUMMYFUNCTION("IMPORTRANGE(""https://docs.google.com/spreadsheets/d/1-uDff_7J0KD5mKrp0Vvzr7lt3OU09vwQwhkpOPPYv2Y/edit?usp=sharing"",""งบพรบ!EL15"")"),0)</f>
        <v>0</v>
      </c>
      <c r="M328" s="224">
        <f ca="1">IFERROR(__xludf.DUMMYFUNCTION("IMPORTRANGE(""https://docs.google.com/spreadsheets/d/1-uDff_7J0KD5mKrp0Vvzr7lt3OU09vwQwhkpOPPYv2Y/edit?usp=sharing"",""งบพรบ!EO15"")"),0)</f>
        <v>0</v>
      </c>
      <c r="N328" s="224">
        <f ca="1">IFERROR(__xludf.DUMMYFUNCTION("IMPORTRANGE(""https://docs.google.com/spreadsheets/d/1-uDff_7J0KD5mKrp0Vvzr7lt3OU09vwQwhkpOPPYv2Y/edit?usp=sharing"",""งบพรบ!EQ15"")"),0)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IFERROR(__xludf.DUMMYFUNCTION("IMPORTRANGE(""https://docs.google.com/spreadsheets/d/1eHaY18a8A9IcSdp1K8H6x8fbOy06t2VsZHhMHf-1x7Y/edit?usp=sharing"",""แผน!EJ15"")"),0)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IFERROR(__xludf.DUMMYFUNCTION("IMPORTRANGE(""https://docs.google.com/spreadsheets/d/1eHaY18a8A9IcSdp1K8H6x8fbOy06t2VsZHhMHf-1x7Y/edit?usp=sharing"",""แผน!EK15"")"),6000)</f>
        <v>6000</v>
      </c>
      <c r="J332" s="300">
        <f ca="1">J344+J347+J348+J349+J353+J354</f>
        <v>18152</v>
      </c>
      <c r="K332" s="679">
        <f ca="1">IF(I332&gt;0,J332*100/I332,0)</f>
        <v>302.53333333333336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199000</v>
      </c>
      <c r="M333" s="547">
        <f ca="1">M334+M335</f>
        <v>199000</v>
      </c>
      <c r="N333" s="547">
        <f ca="1">N334+N335</f>
        <v>194676</v>
      </c>
      <c r="O333" s="547">
        <f ca="1">IF(L333&gt;0,N333*100/L333,0)</f>
        <v>97.827135678391954</v>
      </c>
      <c r="P333" s="547">
        <f ca="1">IF(M333&gt;0,N333*100/M333,0)</f>
        <v>97.827135678391954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199000</v>
      </c>
      <c r="M335" s="224">
        <f ca="1">M338+M341</f>
        <v>199000</v>
      </c>
      <c r="N335" s="224">
        <f ca="1">N338+N341</f>
        <v>194676</v>
      </c>
      <c r="O335" s="224">
        <f ca="1">IF(L335&gt;0,N335*100/L335,0)</f>
        <v>97.827135678391954</v>
      </c>
      <c r="P335" s="224">
        <f ca="1">IF(M335&gt;0,N335*100/M335,0)</f>
        <v>97.827135678391954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199000</v>
      </c>
      <c r="M336" s="224">
        <f ca="1">M337+M338</f>
        <v>199000</v>
      </c>
      <c r="N336" s="224">
        <f ca="1">N337+N338</f>
        <v>194676</v>
      </c>
      <c r="O336" s="224">
        <f ca="1">IF(L336&gt;0,N336*100/L336,0)</f>
        <v>97.827135678391954</v>
      </c>
      <c r="P336" s="224">
        <f ca="1">IF(M336&gt;0,N336*100/M336,0)</f>
        <v>97.827135678391954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IFERROR(__xludf.DUMMYFUNCTION("IMPORTRANGE(""https://docs.google.com/spreadsheets/d/1-uDff_7J0KD5mKrp0Vvzr7lt3OU09vwQwhkpOPPYv2Y/edit?usp=sharing"",""งบพรบ!ES15"")"),199000)</f>
        <v>199000</v>
      </c>
      <c r="M338" s="224">
        <f ca="1">IFERROR(__xludf.DUMMYFUNCTION("IMPORTRANGE(""https://docs.google.com/spreadsheets/d/1-uDff_7J0KD5mKrp0Vvzr7lt3OU09vwQwhkpOPPYv2Y/edit?usp=sharing"",""งบพรบ!EX15"")"),199000)</f>
        <v>199000</v>
      </c>
      <c r="N338" s="224">
        <f ca="1">IFERROR(__xludf.DUMMYFUNCTION("IMPORTRANGE(""https://docs.google.com/spreadsheets/d/1-uDff_7J0KD5mKrp0Vvzr7lt3OU09vwQwhkpOPPYv2Y/edit?usp=sharing"",""งบพรบ!EZ15"")"),194676)</f>
        <v>194676</v>
      </c>
      <c r="O338" s="224">
        <f ca="1">IF(L338&gt;0,N338*100/L338,0)</f>
        <v>97.827135678391954</v>
      </c>
      <c r="P338" s="224">
        <f ca="1">IF(M338&gt;0,N338*100/M338,0)</f>
        <v>97.827135678391954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IFERROR(__xludf.DUMMYFUNCTION("IMPORTRANGE(""https://docs.google.com/spreadsheets/d/1-uDff_7J0KD5mKrp0Vvzr7lt3OU09vwQwhkpOPPYv2Y/edit?usp=sharing"",""งบพรบ!EV15"")"),0)</f>
        <v>0</v>
      </c>
      <c r="M341" s="224">
        <f ca="1">IFERROR(__xludf.DUMMYFUNCTION("IMPORTRANGE(""https://docs.google.com/spreadsheets/d/1-uDff_7J0KD5mKrp0Vvzr7lt3OU09vwQwhkpOPPYv2Y/edit?usp=sharing"",""งบพรบ!EY15"")"),0)</f>
        <v>0</v>
      </c>
      <c r="N341" s="224">
        <f ca="1">IFERROR(__xludf.DUMMYFUNCTION("IMPORTRANGE(""https://docs.google.com/spreadsheets/d/1-uDff_7J0KD5mKrp0Vvzr7lt3OU09vwQwhkpOPPYv2Y/edit?usp=sharing"",""งบพรบ!FA15"")"),0)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5852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IFERROR(__xludf.DUMMYFUNCTION("IMPORTRANGE(""https://docs.google.com/spreadsheets/d/1awYsYK3VOup2i3Pq_Yjnu8DRu_mYwSBnCR2QPthd0rU/edit?usp=sharing"",""ศูนย์ยกเว้นโฉนด!D15"")"),5836)</f>
        <v>5836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IFERROR(__xludf.DUMMYFUNCTION("IMPORTRANGE(""https://docs.google.com/spreadsheets/d/1eHaY18a8A9IcSdp1K8H6x8fbOy06t2VsZHhMHf-1x7Y/edit?usp=sharing"",""แผน!EL15"")"),8)</f>
        <v>8</v>
      </c>
      <c r="J346" s="184">
        <f ca="1">IFERROR(__xludf.DUMMYFUNCTION("IMPORTRANGE(""https://docs.google.com/spreadsheets/d/1awYsYK3VOup2i3Pq_Yjnu8DRu_mYwSBnCR2QPthd0rU/edit?usp=sharing"",""ศูนย์รวม!E15"")"),2)</f>
        <v>2</v>
      </c>
      <c r="K346" s="224">
        <f ca="1">IF(I346&gt;0,J346*100/I346,0)</f>
        <v>25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IFERROR(__xludf.DUMMYFUNCTION("IMPORTRANGE(""https://docs.google.com/spreadsheets/d/1awYsYK3VOup2i3Pq_Yjnu8DRu_mYwSBnCR2QPthd0rU/edit?usp=sharing"",""ศูนย์ยกเว้นโฉนด!F15"")"),5)</f>
        <v>5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IFERROR(__xludf.DUMMYFUNCTION("IMPORTRANGE(""https://docs.google.com/spreadsheets/d/1awYsYK3VOup2i3Pq_Yjnu8DRu_mYwSBnCR2QPthd0rU/edit?usp=sharing"",""ศูนย์ยกเว้นโฉนด!G15"")"),11)</f>
        <v>11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IFERROR(__xludf.DUMMYFUNCTION("IMPORTRANGE(""https://docs.google.com/spreadsheets/d/1awYsYK3VOup2i3Pq_Yjnu8DRu_mYwSBnCR2QPthd0rU/edit?usp=sharing"",""ศูนย์ยกเว้นโฉนด!H15"")"),0)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12300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IFERROR(__xludf.DUMMYFUNCTION("IMPORTRANGE(""https://docs.google.com/spreadsheets/d/1awYsYK3VOup2i3Pq_Yjnu8DRu_mYwSBnCR2QPthd0rU/edit?usp=sharing"",""โฉนดM3!G15"")"),1653)</f>
        <v>1653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IFERROR(__xludf.DUMMYFUNCTION("IMPORTRANGE(""https://docs.google.com/spreadsheets/d/1awYsYK3VOup2i3Pq_Yjnu8DRu_mYwSBnCR2QPthd0rU/edit?usp=sharing"",""โฉนดM3!H15"")"),11611)</f>
        <v>11611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IFERROR(__xludf.DUMMYFUNCTION("IMPORTRANGE(""https://docs.google.com/spreadsheets/d/1awYsYK3VOup2i3Pq_Yjnu8DRu_mYwSBnCR2QPthd0rU/edit?usp=sharing"",""โฉนดM3!I15"")"),689)</f>
        <v>689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645420</v>
      </c>
      <c r="M356" s="547">
        <f ca="1">M357+M358</f>
        <v>843420</v>
      </c>
      <c r="N356" s="547">
        <f ca="1">N357+N358</f>
        <v>587380.14</v>
      </c>
      <c r="O356" s="547">
        <f ca="1">IF(L356&gt;0,N356*100/L356,0)</f>
        <v>91.00742772148368</v>
      </c>
      <c r="P356" s="547">
        <f ca="1">IF(M356&gt;0,N356*100/M356,0)</f>
        <v>69.642662018922962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645420</v>
      </c>
      <c r="M358" s="224">
        <f ca="1">M361+M364</f>
        <v>843420</v>
      </c>
      <c r="N358" s="224">
        <f ca="1">N361+N364</f>
        <v>587380.14</v>
      </c>
      <c r="O358" s="224">
        <f ca="1">IF(L358&gt;0,N358*100/L358,0)</f>
        <v>91.00742772148368</v>
      </c>
      <c r="P358" s="224">
        <f ca="1">IF(M358&gt;0,N358*100/M358,0)</f>
        <v>69.642662018922962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645420</v>
      </c>
      <c r="M359" s="224">
        <f ca="1">M360+M361</f>
        <v>843420</v>
      </c>
      <c r="N359" s="224">
        <f ca="1">N360+N361</f>
        <v>587380.14</v>
      </c>
      <c r="O359" s="224">
        <f ca="1">IF(L359&gt;0,N359*100/L359,0)</f>
        <v>91.00742772148368</v>
      </c>
      <c r="P359" s="224">
        <f ca="1">IF(M359&gt;0,N359*100/M359,0)</f>
        <v>69.642662018922962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IFERROR(__xludf.DUMMYFUNCTION("IMPORTRANGE(""https://docs.google.com/spreadsheets/d/1-uDff_7J0KD5mKrp0Vvzr7lt3OU09vwQwhkpOPPYv2Y/edit?usp=sharing"",""งบพรบ!FC15"")"),645420)</f>
        <v>645420</v>
      </c>
      <c r="M361" s="224">
        <f ca="1">IFERROR(__xludf.DUMMYFUNCTION("IMPORTRANGE(""https://docs.google.com/spreadsheets/d/1-uDff_7J0KD5mKrp0Vvzr7lt3OU09vwQwhkpOPPYv2Y/edit?usp=sharing"",""งบพรบ!FH15"")"),843420)</f>
        <v>843420</v>
      </c>
      <c r="N361" s="224">
        <f ca="1">IFERROR(__xludf.DUMMYFUNCTION("IMPORTRANGE(""https://docs.google.com/spreadsheets/d/1-uDff_7J0KD5mKrp0Vvzr7lt3OU09vwQwhkpOPPYv2Y/edit?usp=sharing"",""งบพรบ!FJ15"")"),587380.14)</f>
        <v>587380.14</v>
      </c>
      <c r="O361" s="224">
        <f ca="1">IF(L361&gt;0,N361*100/L361,0)</f>
        <v>91.00742772148368</v>
      </c>
      <c r="P361" s="224">
        <f ca="1">IF(M361&gt;0,N361*100/M361,0)</f>
        <v>69.642662018922962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IFERROR(__xludf.DUMMYFUNCTION("IMPORTRANGE(""https://docs.google.com/spreadsheets/d/1-uDff_7J0KD5mKrp0Vvzr7lt3OU09vwQwhkpOPPYv2Y/edit?usp=sharing"",""งบพรบ!FF15"")"),0)</f>
        <v>0</v>
      </c>
      <c r="M364" s="224">
        <f ca="1">IFERROR(__xludf.DUMMYFUNCTION("IMPORTRANGE(""https://docs.google.com/spreadsheets/d/1-uDff_7J0KD5mKrp0Vvzr7lt3OU09vwQwhkpOPPYv2Y/edit?usp=sharing"",""งบพรบ!FI15"")"),0)</f>
        <v>0</v>
      </c>
      <c r="N364" s="224">
        <f ca="1">IFERROR(__xludf.DUMMYFUNCTION("IMPORTRANGE(""https://docs.google.com/spreadsheets/d/1-uDff_7J0KD5mKrp0Vvzr7lt3OU09vwQwhkpOPPYv2Y/edit?usp=sharing"",""งบพรบ!FK15"")"),0)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895</v>
      </c>
      <c r="J365" s="302">
        <f ca="1">J371</f>
        <v>859</v>
      </c>
      <c r="K365" s="303">
        <f ca="1">IF(I365&gt;0,J365*100/I365,0)</f>
        <v>95.977653631284923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IFERROR(__xludf.DUMMYFUNCTION("IMPORTRANGE(""https://docs.google.com/spreadsheets/d/1tdoBKaGub7dwA3U6UFTqxio9LNnvDCQjHKmttSEBsFQ/edit?usp=sharing"",""จัดที่ดิน!AB15"")"),424)</f>
        <v>424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IFERROR(__xludf.DUMMYFUNCTION("IMPORTRANGE(""https://docs.google.com/spreadsheets/d/1eHaY18a8A9IcSdp1K8H6x8fbOy06t2VsZHhMHf-1x7Y/edit?usp=sharing"",""แผน!EW15"")"),1450)</f>
        <v>1450</v>
      </c>
      <c r="J368" s="668">
        <f ca="1">IFERROR(__xludf.DUMMYFUNCTION("IMPORTRANGE(""https://docs.google.com/spreadsheets/d/1tdoBKaGub7dwA3U6UFTqxio9LNnvDCQjHKmttSEBsFQ/edit?usp=sharing"",""จัดที่ดิน!AC15"")"),1847.63)</f>
        <v>1847.63</v>
      </c>
      <c r="K368" s="224">
        <f ca="1">IF(I368&gt;0,J368*100/I368,0)</f>
        <v>127.42275862068965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IFERROR(__xludf.DUMMYFUNCTION("IMPORTRANGE(""https://docs.google.com/spreadsheets/d/1eHaY18a8A9IcSdp1K8H6x8fbOy06t2VsZHhMHf-1x7Y/edit?usp=sharing"",""แผน!EX15"")"),895)</f>
        <v>895</v>
      </c>
      <c r="J369" s="184">
        <f ca="1">IFERROR(__xludf.DUMMYFUNCTION("IMPORTRANGE(""https://docs.google.com/spreadsheets/d/1tdoBKaGub7dwA3U6UFTqxio9LNnvDCQjHKmttSEBsFQ/edit?usp=sharing"",""จัดที่ดิน!AD15"")"),932)</f>
        <v>932</v>
      </c>
      <c r="K369" s="224">
        <f ca="1">IF(I369&gt;0,J369*100/I369,0)</f>
        <v>104.1340782122905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IFERROR(__xludf.DUMMYFUNCTION("IMPORTRANGE(""https://docs.google.com/spreadsheets/d/1tdoBKaGub7dwA3U6UFTqxio9LNnvDCQjHKmttSEBsFQ/edit?usp=sharing"",""จัดที่ดิน!AE15"")"),6418.55999999999)</f>
        <v>6418.5599999999904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IFERROR(__xludf.DUMMYFUNCTION("IMPORTRANGE(""https://docs.google.com/spreadsheets/d/1eHaY18a8A9IcSdp1K8H6x8fbOy06t2VsZHhMHf-1x7Y/edit?usp=sharing"",""แผน!EY15"")"),895)</f>
        <v>895</v>
      </c>
      <c r="J371" s="184">
        <f ca="1">IFERROR(__xludf.DUMMYFUNCTION("IMPORTRANGE(""https://docs.google.com/spreadsheets/d/1tdoBKaGub7dwA3U6UFTqxio9LNnvDCQjHKmttSEBsFQ/edit?usp=sharing"",""จัดที่ดิน!AF15"")"),859)</f>
        <v>859</v>
      </c>
      <c r="K371" s="224">
        <f ca="1">IF(I371&gt;0,J371*100/I371,0)</f>
        <v>95.977653631284923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IFERROR(__xludf.DUMMYFUNCTION("IMPORTRANGE(""https://docs.google.com/spreadsheets/d/1tdoBKaGub7dwA3U6UFTqxio9LNnvDCQjHKmttSEBsFQ/edit?usp=sharing"",""จัดที่ดิน!AG15"")"),5773.88)</f>
        <v>5773.88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2000</v>
      </c>
      <c r="J374" s="660">
        <f ca="1">J386+J388</f>
        <v>1855</v>
      </c>
      <c r="K374" s="659">
        <f ca="1">IF(I374&gt;0,J374*100/I374,0)</f>
        <v>92.75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0</v>
      </c>
      <c r="S375" s="547">
        <f ca="1">S376+S377</f>
        <v>81140</v>
      </c>
      <c r="T375" s="547">
        <f ca="1">IF(Q375&gt;0,S375*100/Q375,0)</f>
        <v>64.912000000000006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0</v>
      </c>
      <c r="S377" s="224">
        <f ca="1">S380+S383</f>
        <v>81140</v>
      </c>
      <c r="T377" s="224">
        <f ca="1">IF(Q377&gt;0,S377*100/Q377,0)</f>
        <v>64.912000000000006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0</v>
      </c>
      <c r="S378" s="224">
        <f ca="1">S379+S380</f>
        <v>81140</v>
      </c>
      <c r="T378" s="224">
        <f ca="1">IF(Q378&gt;0,S378*100/Q378,0)</f>
        <v>64.912000000000006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IFERROR(__xludf.DUMMYFUNCTION("IMPORTRANGE(""https://docs.google.com/spreadsheets/d/1-uDff_7J0KD5mKrp0Vvzr7lt3OU09vwQwhkpOPPYv2Y/edit?usp=sharing"",""งบพรบ!IE15"")"),0)</f>
        <v>0</v>
      </c>
      <c r="M380" s="224">
        <f ca="1">IFERROR(__xludf.DUMMYFUNCTION("IMPORTRANGE(""https://docs.google.com/spreadsheets/d/1-uDff_7J0KD5mKrp0Vvzr7lt3OU09vwQwhkpOPPYv2Y/edit?usp=sharing"",""งบพรบ!IJ15"")"),0)</f>
        <v>0</v>
      </c>
      <c r="N380" s="224">
        <f ca="1">IFERROR(__xludf.DUMMYFUNCTION("IMPORTRANGE(""https://docs.google.com/spreadsheets/d/1-uDff_7J0KD5mKrp0Vvzr7lt3OU09vwQwhkpOPPYv2Y/edit?usp=sharing"",""งบพรบ!IL15"")"),0)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IFERROR(__xludf.DUMMYFUNCTION("IMPORTRANGE(""https://docs.google.com/spreadsheets/d/1ItG2mGa2ceCfYo0BwxsXqNm01IGEUdYcSSLTEv9YCik/edit?usp=sharing"",""เบิกจ่ายกองทุน!BW15"")"),125000)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IFERROR(__xludf.DUMMYFUNCTION("IMPORTRANGE(""https://docs.google.com/spreadsheets/d/1ItG2mGa2ceCfYo0BwxsXqNm01IGEUdYcSSLTEv9YCik/edit?usp=sharing"",""เบิกจ่ายกองทุน!BY15"")"),81140)</f>
        <v>81140</v>
      </c>
      <c r="T380" s="224">
        <f ca="1">IF(Q380&gt;0,S380*100/Q380,0)</f>
        <v>64.912000000000006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IFERROR(__xludf.DUMMYFUNCTION("IMPORTRANGE(""https://docs.google.com/spreadsheets/d/1-uDff_7J0KD5mKrp0Vvzr7lt3OU09vwQwhkpOPPYv2Y/edit?usp=sharing"",""งบพรบ!IH15"")"),0)</f>
        <v>0</v>
      </c>
      <c r="M383" s="224">
        <f ca="1">IFERROR(__xludf.DUMMYFUNCTION("IMPORTRANGE(""https://docs.google.com/spreadsheets/d/1-uDff_7J0KD5mKrp0Vvzr7lt3OU09vwQwhkpOPPYv2Y/edit?usp=sharing"",""งบพรบ!IK15"")"),0)</f>
        <v>0</v>
      </c>
      <c r="N383" s="224">
        <f ca="1">IFERROR(__xludf.DUMMYFUNCTION("IMPORTRANGE(""https://docs.google.com/spreadsheets/d/1-uDff_7J0KD5mKrp0Vvzr7lt3OU09vwQwhkpOPPYv2Y/edit?usp=sharing"",""งบพรบ!IM15"")"),0)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IFERROR(__xludf.DUMMYFUNCTION("IMPORTRANGE(""https://docs.google.com/spreadsheets/d/1w5rwWK1o49a35cNtocGL0gxDwhFSTZUQu90BiH9_zqM/edit?usp=sharing"",""RTK!H15"")"),282)</f>
        <v>282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IFERROR(__xludf.DUMMYFUNCTION("IMPORTRANGE(""https://docs.google.com/spreadsheets/d/1w5rwWK1o49a35cNtocGL0gxDwhFSTZUQu90BiH9_zqM/edit?usp=sharing"",""RTK!G15"")"),2000)</f>
        <v>2000</v>
      </c>
      <c r="J386" s="184">
        <f ca="1">IFERROR(__xludf.DUMMYFUNCTION("IMPORTRANGE(""https://docs.google.com/spreadsheets/d/1w5rwWK1o49a35cNtocGL0gxDwhFSTZUQu90BiH9_zqM/edit?usp=sharing"",""RTK!I15"")"),1855)</f>
        <v>1855</v>
      </c>
      <c r="K386" s="224">
        <f ca="1">IF(I386&gt;0,J386*100/I386,0)</f>
        <v>92.75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IFERROR(__xludf.DUMMYFUNCTION("IMPORTRANGE(""https://docs.google.com/spreadsheets/d/1w5rwWK1o49a35cNtocGL0gxDwhFSTZUQu90BiH9_zqM/edit?usp=sharing"",""RTK!L15"")"),0)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IFERROR(__xludf.DUMMYFUNCTION("IMPORTRANGE(""https://docs.google.com/spreadsheets/d/1w5rwWK1o49a35cNtocGL0gxDwhFSTZUQu90BiH9_zqM/edit?usp=sharing"",""RTK!K15"")"),0)</f>
        <v>0</v>
      </c>
      <c r="J388" s="559">
        <f ca="1">IFERROR(__xludf.DUMMYFUNCTION("IMPORTRANGE(""https://docs.google.com/spreadsheets/d/1w5rwWK1o49a35cNtocGL0gxDwhFSTZUQu90BiH9_zqM/edit?usp=sharing"",""RTK!M15"")"),0)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IFERROR(__xludf.DUMMYFUNCTION("IMPORTRANGE(""https://docs.google.com/spreadsheets/d/1ItG2mGa2ceCfYo0BwxsXqNm01IGEUdYcSSLTEv9YCik/edit?usp=sharing"",""เบิกจ่ายกองทุน!CL15"")"),0)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IFERROR(__xludf.DUMMYFUNCTION("IMPORTRANGE(""https://docs.google.com/spreadsheets/d/1ItG2mGa2ceCfYo0BwxsXqNm01IGEUdYcSSLTEv9YCik/edit?usp=sharing"",""เบิกจ่ายกองทุน!CM15"")"),0)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IFERROR(__xludf.DUMMYFUNCTION("IMPORTRANGE(""https://docs.google.com/spreadsheets/d/1ItG2mGa2ceCfYo0BwxsXqNm01IGEUdYcSSLTEv9YCik/edit?usp=sharing"",""เบิกจ่ายกองทุน!CN15"")"),0)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95804</v>
      </c>
      <c r="J412" s="632">
        <f>J423</f>
        <v>69796.051999999996</v>
      </c>
      <c r="K412" s="631">
        <f ca="1">IF(I412&gt;0,J412*100/I412,0)</f>
        <v>72.852962298025133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896950</v>
      </c>
      <c r="M413" s="547">
        <f ca="1">M414+M415</f>
        <v>900650</v>
      </c>
      <c r="N413" s="547">
        <f ca="1">N414+N415</f>
        <v>370062.95</v>
      </c>
      <c r="O413" s="547">
        <f ca="1">IF(L413&gt;0,N413*100/L413,0)</f>
        <v>41.257924076035451</v>
      </c>
      <c r="P413" s="547">
        <f ca="1">IF(M413&gt;0,N413*100/M413,0)</f>
        <v>41.08843057791595</v>
      </c>
      <c r="Q413" s="547">
        <f ca="1">Q414+Q415</f>
        <v>95270</v>
      </c>
      <c r="R413" s="547">
        <f ca="1">R414+R415</f>
        <v>95270</v>
      </c>
      <c r="S413" s="547">
        <f ca="1">S414+S415</f>
        <v>72470.2</v>
      </c>
      <c r="T413" s="547">
        <f ca="1">IF(Q413&gt;0,S413*100/Q413,0)</f>
        <v>76.068227143906796</v>
      </c>
      <c r="U413" s="547">
        <f ca="1">IF(R413&gt;0,S413*100/R413,0)</f>
        <v>76.068227143906796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896950</v>
      </c>
      <c r="M415" s="224">
        <f ca="1">M418+M421</f>
        <v>900650</v>
      </c>
      <c r="N415" s="224">
        <f ca="1">N418+N421</f>
        <v>370062.95</v>
      </c>
      <c r="O415" s="224">
        <f ca="1">IF(L415&gt;0,N415*100/L415,0)</f>
        <v>41.257924076035451</v>
      </c>
      <c r="P415" s="224">
        <f ca="1">IF(M415&gt;0,N415*100/M415,0)</f>
        <v>41.08843057791595</v>
      </c>
      <c r="Q415" s="224">
        <f ca="1">Q418+Q421</f>
        <v>95270</v>
      </c>
      <c r="R415" s="224">
        <f ca="1">R418+R421</f>
        <v>95270</v>
      </c>
      <c r="S415" s="224">
        <f ca="1">S418+S421</f>
        <v>72470.2</v>
      </c>
      <c r="T415" s="224">
        <f ca="1">IF(Q415&gt;0,S415*100/Q415,0)</f>
        <v>76.068227143906796</v>
      </c>
      <c r="U415" s="224">
        <f ca="1">IF(R415&gt;0,S415*100/R415,0)</f>
        <v>76.068227143906796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896950</v>
      </c>
      <c r="M416" s="224">
        <f ca="1">M417+M418</f>
        <v>900650</v>
      </c>
      <c r="N416" s="224">
        <f ca="1">N417+N418</f>
        <v>370062.95</v>
      </c>
      <c r="O416" s="224">
        <f ca="1">IF(L416&gt;0,N416*100/L416,0)</f>
        <v>41.257924076035451</v>
      </c>
      <c r="P416" s="224">
        <f ca="1">IF(M416&gt;0,N416*100/M416,0)</f>
        <v>41.08843057791595</v>
      </c>
      <c r="Q416" s="224">
        <f ca="1">Q417+Q418</f>
        <v>95270</v>
      </c>
      <c r="R416" s="224">
        <f ca="1">R417+R418</f>
        <v>95270</v>
      </c>
      <c r="S416" s="224">
        <f ca="1">S417+S418</f>
        <v>72470.2</v>
      </c>
      <c r="T416" s="224">
        <f ca="1">IF(Q416&gt;0,S416*100/Q416,0)</f>
        <v>76.068227143906796</v>
      </c>
      <c r="U416" s="224">
        <f ca="1">IF(R416&gt;0,S416*100/R416,0)</f>
        <v>76.068227143906796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IFERROR(__xludf.DUMMYFUNCTION("IMPORTRANGE(""https://docs.google.com/spreadsheets/d/1-uDff_7J0KD5mKrp0Vvzr7lt3OU09vwQwhkpOPPYv2Y/edit?usp=sharing"",""งบพรบ!IO15"")"),896950)</f>
        <v>896950</v>
      </c>
      <c r="M418" s="224">
        <f ca="1">IFERROR(__xludf.DUMMYFUNCTION("IMPORTRANGE(""https://docs.google.com/spreadsheets/d/1-uDff_7J0KD5mKrp0Vvzr7lt3OU09vwQwhkpOPPYv2Y/edit?usp=sharing"",""งบพรบ!IT15"")"),900650)</f>
        <v>900650</v>
      </c>
      <c r="N418" s="224">
        <f ca="1">IFERROR(__xludf.DUMMYFUNCTION("IMPORTRANGE(""https://docs.google.com/spreadsheets/d/1-uDff_7J0KD5mKrp0Vvzr7lt3OU09vwQwhkpOPPYv2Y/edit?usp=sharing"",""งบพรบ!IV15"")"),370062.95)</f>
        <v>370062.95</v>
      </c>
      <c r="O418" s="224">
        <f ca="1">IF(L418&gt;0,N418*100/L418,0)</f>
        <v>41.257924076035451</v>
      </c>
      <c r="P418" s="224">
        <f ca="1">IF(M418&gt;0,N418*100/M418,0)</f>
        <v>41.08843057791595</v>
      </c>
      <c r="Q418" s="224">
        <f ca="1">IFERROR(__xludf.DUMMYFUNCTION("IMPORTRANGE(""https://docs.google.com/spreadsheets/d/1ItG2mGa2ceCfYo0BwxsXqNm01IGEUdYcSSLTEv9YCik/edit?usp=sharing"",""เบิกจ่ายกองทุน!BZ15"")"),95270)</f>
        <v>95270</v>
      </c>
      <c r="R418" s="224">
        <f ca="1">IFERROR(__xludf.DUMMYFUNCTION("IMPORTRANGE(""https://docs.google.com/spreadsheets/d/1ItG2mGa2ceCfYo0BwxsXqNm01IGEUdYcSSLTEv9YCik/edit?usp=sharing"",""เบิกจ่ายกองทุน!CA15"")"),95270)</f>
        <v>95270</v>
      </c>
      <c r="S418" s="224">
        <f ca="1">IFERROR(__xludf.DUMMYFUNCTION("IMPORTRANGE(""https://docs.google.com/spreadsheets/d/1ItG2mGa2ceCfYo0BwxsXqNm01IGEUdYcSSLTEv9YCik/edit?usp=sharing"",""เบิกจ่ายกองทุน!CB15"")"),72470.2)</f>
        <v>72470.2</v>
      </c>
      <c r="T418" s="224">
        <f ca="1">IF(Q418&gt;0,S418*100/Q418,0)</f>
        <v>76.068227143906796</v>
      </c>
      <c r="U418" s="224">
        <f ca="1">IF(R418&gt;0,S418*100/R418,0)</f>
        <v>76.068227143906796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IFERROR(__xludf.DUMMYFUNCTION("IMPORTRANGE(""https://docs.google.com/spreadsheets/d/1-uDff_7J0KD5mKrp0Vvzr7lt3OU09vwQwhkpOPPYv2Y/edit?usp=sharing"",""งบพรบ!IR15"")"),0)</f>
        <v>0</v>
      </c>
      <c r="M421" s="224">
        <f ca="1">IFERROR(__xludf.DUMMYFUNCTION("IMPORTRANGE(""https://docs.google.com/spreadsheets/d/1-uDff_7J0KD5mKrp0Vvzr7lt3OU09vwQwhkpOPPYv2Y/edit?usp=sharing"",""งบพรบ!IU15"")"),0)</f>
        <v>0</v>
      </c>
      <c r="N421" s="224">
        <f ca="1">IFERROR(__xludf.DUMMYFUNCTION("IMPORTRANGE(""https://docs.google.com/spreadsheets/d/1-uDff_7J0KD5mKrp0Vvzr7lt3OU09vwQwhkpOPPYv2Y/edit?usp=sharing"",""งบพรบ!IW15"")"),0)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95804</v>
      </c>
      <c r="J423" s="653">
        <f>J440</f>
        <v>69796.051999999996</v>
      </c>
      <c r="K423" s="578">
        <f ca="1">IF(I423&gt;0,J423*100/I423,0)</f>
        <v>72.852962298025133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IFERROR(__xludf.DUMMYFUNCTION("IMPORTRANGE(""https://docs.google.com/spreadsheets/d/1eHaY18a8A9IcSdp1K8H6x8fbOy06t2VsZHhMHf-1x7Y/edit?usp=sharing"",""แผน!HJ15"")"),95804)</f>
        <v>95804</v>
      </c>
      <c r="J424" s="650">
        <f>J426+J428+J430</f>
        <v>95804.479999999996</v>
      </c>
      <c r="K424" s="547">
        <f ca="1">IF(I424&gt;0,J424*100/I424,0)</f>
        <v>100.0005010229218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IFERROR(__xludf.DUMMYFUNCTION("IMPORTRANGE(""https://docs.google.com/spreadsheets/d/1eHaY18a8A9IcSdp1K8H6x8fbOy06t2VsZHhMHf-1x7Y/edit?usp=sharing"",""แผน!HK15"")"),15699)</f>
        <v>15699</v>
      </c>
      <c r="J425" s="650">
        <f>J427+J429+J431</f>
        <v>15699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69307.53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12427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22187.5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2593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4309.45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679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IFERROR(__xludf.DUMMYFUNCTION("IMPORTRANGE(""https://docs.google.com/spreadsheets/d/1eHaY18a8A9IcSdp1K8H6x8fbOy06t2VsZHhMHf-1x7Y/edit?usp=sharing"",""แผน!HJ15"")"),95804)</f>
        <v>95804</v>
      </c>
      <c r="J432" s="650">
        <f>J434+J436+J438</f>
        <v>69717.323000000004</v>
      </c>
      <c r="K432" s="547">
        <f ca="1">IF(I432&gt;0,J432*100/I432,0)</f>
        <v>72.77078514467037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IFERROR(__xludf.DUMMYFUNCTION("IMPORTRANGE(""https://docs.google.com/spreadsheets/d/1eHaY18a8A9IcSdp1K8H6x8fbOy06t2VsZHhMHf-1x7Y/edit?usp=sharing"",""แผน!HK15"")"),15699)</f>
        <v>15699</v>
      </c>
      <c r="J433" s="650">
        <f>J435+J437+J439</f>
        <v>11322</v>
      </c>
      <c r="K433" s="547">
        <f ca="1">IF(I433&gt;0,J433*100/I433,0)</f>
        <v>72.119243263902163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53735.108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9598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13458.184999999999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1332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2524.0300000000002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392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IFERROR(__xludf.DUMMYFUNCTION("IMPORTRANGE(""https://docs.google.com/spreadsheets/d/1eHaY18a8A9IcSdp1K8H6x8fbOy06t2VsZHhMHf-1x7Y/edit?usp=sharing"",""แผน!HJ15"")"),95804)</f>
        <v>95804</v>
      </c>
      <c r="J440" s="650">
        <f>J442+J444+J446+J452+J454</f>
        <v>69796.051999999996</v>
      </c>
      <c r="K440" s="547">
        <f ca="1">IF(I440&gt;0,J440*100/I440,0)</f>
        <v>72.852962298025133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IFERROR(__xludf.DUMMYFUNCTION("IMPORTRANGE(""https://docs.google.com/spreadsheets/d/1eHaY18a8A9IcSdp1K8H6x8fbOy06t2VsZHhMHf-1x7Y/edit?usp=sharing"",""แผน!HK15"")"),15699)</f>
        <v>15699</v>
      </c>
      <c r="J441" s="650">
        <f>J443+J445+J447+J453+J455</f>
        <v>11335</v>
      </c>
      <c r="K441" s="547">
        <f ca="1">IF(I441&gt;0,J441*100/I441,0)</f>
        <v>72.202051086056443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53735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9598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2524.0520000000001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392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2455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380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69.052000000000007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12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13537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1345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2013.51</v>
      </c>
      <c r="J456" s="648">
        <f>J457</f>
        <v>1309</v>
      </c>
      <c r="K456" s="578">
        <f ca="1">IF(I456&gt;0,J456*100/I456,0)</f>
        <v>65.010851696788194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IFERROR(__xludf.DUMMYFUNCTION("IMPORTRANGE(""https://docs.google.com/spreadsheets/d/1eHaY18a8A9IcSdp1K8H6x8fbOy06t2VsZHhMHf-1x7Y/edit?usp=sharing"",""แผน!HL15"")"),2013.51)</f>
        <v>2013.51</v>
      </c>
      <c r="J457" s="650">
        <f>J459+J467+J473</f>
        <v>1309</v>
      </c>
      <c r="K457" s="547">
        <f ca="1">IF(I457&gt;0,J457*100/I457,0)</f>
        <v>65.010851696788194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IFERROR(__xludf.DUMMYFUNCTION("IMPORTRANGE(""https://docs.google.com/spreadsheets/d/1eHaY18a8A9IcSdp1K8H6x8fbOy06t2VsZHhMHf-1x7Y/edit?usp=sharing"",""แผน!HM15"")"),371)</f>
        <v>371</v>
      </c>
      <c r="J458" s="650">
        <f>J460+J468+J474</f>
        <v>240</v>
      </c>
      <c r="K458" s="547">
        <f ca="1">IF(I458&gt;0,J458*100/I458,0)</f>
        <v>64.690026954177895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1301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236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1301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236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8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4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IFERROR(__xludf.DUMMYFUNCTION("IMPORTRANGE(""https://docs.google.com/spreadsheets/d/1eHaY18a8A9IcSdp1K8H6x8fbOy06t2VsZHhMHf-1x7Y/edit?usp=sharing"",""แผน!HO15"")"),451)</f>
        <v>451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IFERROR(__xludf.DUMMYFUNCTION("IMPORTRANGE(""https://docs.google.com/spreadsheets/d/1eHaY18a8A9IcSdp1K8H6x8fbOy06t2VsZHhMHf-1x7Y/edit?usp=sharing"",""แผน!HN15"")"),57)</f>
        <v>57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IFERROR(__xludf.DUMMYFUNCTION("IMPORTRANGE(""https://docs.google.com/spreadsheets/d/1-uDff_7J0KD5mKrp0Vvzr7lt3OU09vwQwhkpOPPYv2Y/edit?usp=sharing"",""งบพรบ!HU15"")"),0)</f>
        <v>0</v>
      </c>
      <c r="M498" s="224">
        <f ca="1">IFERROR(__xludf.DUMMYFUNCTION("IMPORTRANGE(""https://docs.google.com/spreadsheets/d/1-uDff_7J0KD5mKrp0Vvzr7lt3OU09vwQwhkpOPPYv2Y/edit?usp=sharing"",""งบพรบ!HZ15"")"),0)</f>
        <v>0</v>
      </c>
      <c r="N498" s="224">
        <f ca="1">IFERROR(__xludf.DUMMYFUNCTION("IMPORTRANGE(""https://docs.google.com/spreadsheets/d/1-uDff_7J0KD5mKrp0Vvzr7lt3OU09vwQwhkpOPPYv2Y/edit?usp=sharing"",""งบพรบ!IB15"")"),0)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IFERROR(__xludf.DUMMYFUNCTION("IMPORTRANGE(""https://docs.google.com/spreadsheets/d/1ItG2mGa2ceCfYo0BwxsXqNm01IGEUdYcSSLTEv9YCik/edit?usp=sharing"",""เบิกจ่ายกองทุน!AF15"")"),0)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IFERROR(__xludf.DUMMYFUNCTION("IMPORTRANGE(""https://docs.google.com/spreadsheets/d/1-uDff_7J0KD5mKrp0Vvzr7lt3OU09vwQwhkpOPPYv2Y/edit?usp=sharing"",""งบพรบ!HX15"")"),0)</f>
        <v>0</v>
      </c>
      <c r="M501" s="224">
        <f ca="1">IFERROR(__xludf.DUMMYFUNCTION("IMPORTRANGE(""https://docs.google.com/spreadsheets/d/1-uDff_7J0KD5mKrp0Vvzr7lt3OU09vwQwhkpOPPYv2Y/edit?usp=sharing"",""งบพรบ!IA15"")"),0)</f>
        <v>0</v>
      </c>
      <c r="N501" s="224">
        <f ca="1">IFERROR(__xludf.DUMMYFUNCTION("IMPORTRANGE(""https://docs.google.com/spreadsheets/d/1-uDff_7J0KD5mKrp0Vvzr7lt3OU09vwQwhkpOPPYv2Y/edit?usp=sharing"",""งบพรบ!IC15"")"),0)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IFERROR(__xludf.DUMMYFUNCTION("IMPORTRANGE(""https://docs.google.com/spreadsheets/d/1eHaY18a8A9IcSdp1K8H6x8fbOy06t2VsZHhMHf-1x7Y/edit?usp=sharing"",""แผน!GX15"")"),0)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IFERROR(__xludf.DUMMYFUNCTION("IMPORTRANGE(""https://docs.google.com/spreadsheets/d/1eHaY18a8A9IcSdp1K8H6x8fbOy06t2VsZHhMHf-1x7Y/edit?usp=sharing"",""แผน!GY15"")"),0)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IFERROR(__xludf.DUMMYFUNCTION("IMPORTRANGE(""https://docs.google.com/spreadsheets/d/1eHaY18a8A9IcSdp1K8H6x8fbOy06t2VsZHhMHf-1x7Y/edit?usp=sharing"",""แผน!GZ15"")"),0)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IFERROR(__xludf.DUMMYFUNCTION("IMPORTRANGE(""https://docs.google.com/spreadsheets/d/1eHaY18a8A9IcSdp1K8H6x8fbOy06t2VsZHhMHf-1x7Y/edit?usp=sharing"",""แผน!HA15"")"),0)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IFERROR(__xludf.DUMMYFUNCTION("IMPORTRANGE(""https://docs.google.com/spreadsheets/d/1eHaY18a8A9IcSdp1K8H6x8fbOy06t2VsZHhMHf-1x7Y/edit?usp=sharing"",""แผน!HB15"")"),0)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IFERROR(__xludf.DUMMYFUNCTION("IMPORTRANGE(""https://docs.google.com/spreadsheets/d/1eHaY18a8A9IcSdp1K8H6x8fbOy06t2VsZHhMHf-1x7Y/edit?usp=sharing"",""แผน!HC15"")"),0)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IFERROR(__xludf.DUMMYFUNCTION("IMPORTRANGE(""https://docs.google.com/spreadsheets/d/1-uDff_7J0KD5mKrp0Vvzr7lt3OU09vwQwhkpOPPYv2Y/edit?usp=sharing"",""งบพรบ!FM15"")"),0)</f>
        <v>0</v>
      </c>
      <c r="M518" s="224">
        <f ca="1">IFERROR(__xludf.DUMMYFUNCTION("IMPORTRANGE(""https://docs.google.com/spreadsheets/d/1-uDff_7J0KD5mKrp0Vvzr7lt3OU09vwQwhkpOPPYv2Y/edit?usp=sharing"",""งบพรบ!FR15"")"),0)</f>
        <v>0</v>
      </c>
      <c r="N518" s="224">
        <f ca="1">IFERROR(__xludf.DUMMYFUNCTION("IMPORTRANGE(""https://docs.google.com/spreadsheets/d/1-uDff_7J0KD5mKrp0Vvzr7lt3OU09vwQwhkpOPPYv2Y/edit?usp=sharing"",""งบพรบ!FT15"")"),0)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IFERROR(__xludf.DUMMYFUNCTION("IMPORTRANGE(""https://docs.google.com/spreadsheets/d/1-uDff_7J0KD5mKrp0Vvzr7lt3OU09vwQwhkpOPPYv2Y/edit?usp=sharing"",""งบพรบ!FP15"")"),0)</f>
        <v>0</v>
      </c>
      <c r="M521" s="224">
        <f ca="1">IFERROR(__xludf.DUMMYFUNCTION("IMPORTRANGE(""https://docs.google.com/spreadsheets/d/1-uDff_7J0KD5mKrp0Vvzr7lt3OU09vwQwhkpOPPYv2Y/edit?usp=sharing"",""งบพรบ!FS15"")"),0)</f>
        <v>0</v>
      </c>
      <c r="N521" s="224">
        <f ca="1">IFERROR(__xludf.DUMMYFUNCTION("IMPORTRANGE(""https://docs.google.com/spreadsheets/d/1-uDff_7J0KD5mKrp0Vvzr7lt3OU09vwQwhkpOPPYv2Y/edit?usp=sharing"",""งบพรบ!FU15"")"),0)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IFERROR(__xludf.DUMMYFUNCTION("IMPORTRANGE(""https://docs.google.com/spreadsheets/d/1-uDff_7J0KD5mKrp0Vvzr7lt3OU09vwQwhkpOPPYv2Y/edit?usp=sharing"",""งบพรบ!FW15"")"),0)</f>
        <v>0</v>
      </c>
      <c r="M539" s="224">
        <f ca="1">IFERROR(__xludf.DUMMYFUNCTION("IMPORTRANGE(""https://docs.google.com/spreadsheets/d/1-uDff_7J0KD5mKrp0Vvzr7lt3OU09vwQwhkpOPPYv2Y/edit?usp=sharing"",""งบพรบ!GB15"")"),0)</f>
        <v>0</v>
      </c>
      <c r="N539" s="224">
        <f ca="1">IFERROR(__xludf.DUMMYFUNCTION("IMPORTRANGE(""https://docs.google.com/spreadsheets/d/1-uDff_7J0KD5mKrp0Vvzr7lt3OU09vwQwhkpOPPYv2Y/edit?usp=sharing"",""งบพรบ!GD15"")"),0)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IFERROR(__xludf.DUMMYFUNCTION("IMPORTRANGE(""https://docs.google.com/spreadsheets/d/1-uDff_7J0KD5mKrp0Vvzr7lt3OU09vwQwhkpOPPYv2Y/edit?usp=sharing"",""งบพรบ!FZ15"")"),0)</f>
        <v>0</v>
      </c>
      <c r="M542" s="224">
        <f ca="1">IFERROR(__xludf.DUMMYFUNCTION("IMPORTRANGE(""https://docs.google.com/spreadsheets/d/1-uDff_7J0KD5mKrp0Vvzr7lt3OU09vwQwhkpOPPYv2Y/edit?usp=sharing"",""งบพรบ!GC15"")"),0)</f>
        <v>0</v>
      </c>
      <c r="N542" s="224">
        <f ca="1">IFERROR(__xludf.DUMMYFUNCTION("IMPORTRANGE(""https://docs.google.com/spreadsheets/d/1-uDff_7J0KD5mKrp0Vvzr7lt3OU09vwQwhkpOPPYv2Y/edit?usp=sharing"",""งบพรบ!GE15"")"),0)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IFERROR(__xludf.DUMMYFUNCTION("IMPORTRANGE(""https://docs.google.com/spreadsheets/d/1-uDff_7J0KD5mKrp0Vvzr7lt3OU09vwQwhkpOPPYv2Y/edit?usp=sharing"",""งบพรบ!GG15"")"),0)</f>
        <v>0</v>
      </c>
      <c r="M560" s="224">
        <f ca="1">IFERROR(__xludf.DUMMYFUNCTION("IMPORTRANGE(""https://docs.google.com/spreadsheets/d/1-uDff_7J0KD5mKrp0Vvzr7lt3OU09vwQwhkpOPPYv2Y/edit?usp=sharing"",""งบพรบ!GL15"")"),0)</f>
        <v>0</v>
      </c>
      <c r="N560" s="224">
        <f ca="1">IFERROR(__xludf.DUMMYFUNCTION("IMPORTRANGE(""https://docs.google.com/spreadsheets/d/1-uDff_7J0KD5mKrp0Vvzr7lt3OU09vwQwhkpOPPYv2Y/edit?usp=sharing"",""งบพรบ!GN15"")"),0)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IFERROR(__xludf.DUMMYFUNCTION("IMPORTRANGE(""https://docs.google.com/spreadsheets/d/1-uDff_7J0KD5mKrp0Vvzr7lt3OU09vwQwhkpOPPYv2Y/edit?usp=sharing"",""งบพรบ!GJ15"")"),0)</f>
        <v>0</v>
      </c>
      <c r="M563" s="224">
        <f ca="1">IFERROR(__xludf.DUMMYFUNCTION("IMPORTRANGE(""https://docs.google.com/spreadsheets/d/1-uDff_7J0KD5mKrp0Vvzr7lt3OU09vwQwhkpOPPYv2Y/edit?usp=sharing"",""งบพรบ!GM15"")"),0)</f>
        <v>0</v>
      </c>
      <c r="N563" s="224">
        <f ca="1">IFERROR(__xludf.DUMMYFUNCTION("IMPORTRANGE(""https://docs.google.com/spreadsheets/d/1-uDff_7J0KD5mKrp0Vvzr7lt3OU09vwQwhkpOPPYv2Y/edit?usp=sharing"",""งบพรบ!GO15"")"),0)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IFERROR(__xludf.DUMMYFUNCTION("IMPORTRANGE(""https://docs.google.com/spreadsheets/d/1-uDff_7J0KD5mKrp0Vvzr7lt3OU09vwQwhkpOPPYv2Y/edit?usp=sharing"",""งบพรบ!GQ15"")"),0)</f>
        <v>0</v>
      </c>
      <c r="M581" s="224">
        <f ca="1">IFERROR(__xludf.DUMMYFUNCTION("IMPORTRANGE(""https://docs.google.com/spreadsheets/d/1-uDff_7J0KD5mKrp0Vvzr7lt3OU09vwQwhkpOPPYv2Y/edit?usp=sharing"",""งบพรบ!GV15"")"),0)</f>
        <v>0</v>
      </c>
      <c r="N581" s="224">
        <f ca="1">IFERROR(__xludf.DUMMYFUNCTION("IMPORTRANGE(""https://docs.google.com/spreadsheets/d/1-uDff_7J0KD5mKrp0Vvzr7lt3OU09vwQwhkpOPPYv2Y/edit?usp=sharing"",""งบพรบ!GX15"")"),0)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IFERROR(__xludf.DUMMYFUNCTION("IMPORTRANGE(""https://docs.google.com/spreadsheets/d/1-uDff_7J0KD5mKrp0Vvzr7lt3OU09vwQwhkpOPPYv2Y/edit?usp=sharing"",""งบพรบ!GT15"")"),0)</f>
        <v>0</v>
      </c>
      <c r="M584" s="224">
        <f ca="1">IFERROR(__xludf.DUMMYFUNCTION("IMPORTRANGE(""https://docs.google.com/spreadsheets/d/1-uDff_7J0KD5mKrp0Vvzr7lt3OU09vwQwhkpOPPYv2Y/edit?usp=sharing"",""งบพรบ!GW15"")"),0)</f>
        <v>0</v>
      </c>
      <c r="N584" s="224">
        <f ca="1">IFERROR(__xludf.DUMMYFUNCTION("IMPORTRANGE(""https://docs.google.com/spreadsheets/d/1-uDff_7J0KD5mKrp0Vvzr7lt3OU09vwQwhkpOPPYv2Y/edit?usp=sharing"",""งบพรบ!GY15"")"),0)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IFERROR(__xludf.DUMMYFUNCTION("IMPORTRANGE(""https://docs.google.com/spreadsheets/d/1-uDff_7J0KD5mKrp0Vvzr7lt3OU09vwQwhkpOPPYv2Y/edit?usp=sharing"",""งบพรบ!HK15"")"),0)</f>
        <v>0</v>
      </c>
      <c r="M604" s="224">
        <f ca="1">IFERROR(__xludf.DUMMYFUNCTION("IMPORTRANGE(""https://docs.google.com/spreadsheets/d/1-uDff_7J0KD5mKrp0Vvzr7lt3OU09vwQwhkpOPPYv2Y/edit?usp=sharing"",""งบพรบ!HP15"")"),0)</f>
        <v>0</v>
      </c>
      <c r="N604" s="224">
        <f ca="1">IFERROR(__xludf.DUMMYFUNCTION("IMPORTRANGE(""https://docs.google.com/spreadsheets/d/1-uDff_7J0KD5mKrp0Vvzr7lt3OU09vwQwhkpOPPYv2Y/edit?usp=sharing"",""งบพรบ!HR15"")"),0)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IFERROR(__xludf.DUMMYFUNCTION("IMPORTRANGE(""https://docs.google.com/spreadsheets/d/1ItG2mGa2ceCfYo0BwxsXqNm01IGEUdYcSSLTEv9YCik/edit?usp=sharing"",""เบิกจ่ายกองทุน!AV15"")"),0)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IFERROR(__xludf.DUMMYFUNCTION("IMPORTRANGE(""https://docs.google.com/spreadsheets/d/1ItG2mGa2ceCfYo0BwxsXqNm01IGEUdYcSSLTEv9YCik/edit?usp=sharing"",""เบิกจ่ายกองทุน!AW15"")"),0)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IFERROR(__xludf.DUMMYFUNCTION("IMPORTRANGE(""https://docs.google.com/spreadsheets/d/1ItG2mGa2ceCfYo0BwxsXqNm01IGEUdYcSSLTEv9YCik/edit?usp=sharing"",""เบิกจ่ายกองทุน!AX15"")"),0)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IFERROR(__xludf.DUMMYFUNCTION("IMPORTRANGE(""https://docs.google.com/spreadsheets/d/1-uDff_7J0KD5mKrp0Vvzr7lt3OU09vwQwhkpOPPYv2Y/edit?usp=sharing"",""งบพรบ!HN15"")"),0)</f>
        <v>0</v>
      </c>
      <c r="M607" s="224">
        <f ca="1">IFERROR(__xludf.DUMMYFUNCTION("IMPORTRANGE(""https://docs.google.com/spreadsheets/d/1-uDff_7J0KD5mKrp0Vvzr7lt3OU09vwQwhkpOPPYv2Y/edit?usp=sharing"",""งบพรบ!HQ15"")"),0)</f>
        <v>0</v>
      </c>
      <c r="N607" s="224">
        <f ca="1">IFERROR(__xludf.DUMMYFUNCTION("IMPORTRANGE(""https://docs.google.com/spreadsheets/d/1-uDff_7J0KD5mKrp0Vvzr7lt3OU09vwQwhkpOPPYv2Y/edit?usp=sharing"",""งบพรบ!HS15"")"),0)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IFERROR(__xludf.DUMMYFUNCTION("IMPORTRANGE(""https://docs.google.com/spreadsheets/d/1ItG2mGa2ceCfYo0BwxsXqNm01IGEUdYcSSLTEv9YCik/edit?usp=sharing"",""เบิกจ่ายกองทุน!AY15"")"),0)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IFERROR(__xludf.DUMMYFUNCTION("IMPORTRANGE(""https://docs.google.com/spreadsheets/d/1ItG2mGa2ceCfYo0BwxsXqNm01IGEUdYcSSLTEv9YCik/edit?usp=sharing"",""เบิกจ่ายกองทุน!AZ15"")"),0)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IFERROR(__xludf.DUMMYFUNCTION("IMPORTRANGE(""https://docs.google.com/spreadsheets/d/1ItG2mGa2ceCfYo0BwxsXqNm01IGEUdYcSSLTEv9YCik/edit?usp=sharing"",""เบิกจ่ายกองทุน!BA15"")"),0)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200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21950</v>
      </c>
      <c r="R616" s="547">
        <f ca="1">R617+R618</f>
        <v>20675</v>
      </c>
      <c r="S616" s="547">
        <f ca="1">S617+S618</f>
        <v>12944</v>
      </c>
      <c r="T616" s="547">
        <f ca="1">IF(Q616&gt;0,S616*100/Q616,0)</f>
        <v>58.970387243735765</v>
      </c>
      <c r="U616" s="547">
        <f ca="1">IF(R616&gt;0,S616*100/R616,0)</f>
        <v>62.607013301088273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21950</v>
      </c>
      <c r="R618" s="224">
        <f ca="1">R621+R624</f>
        <v>20675</v>
      </c>
      <c r="S618" s="224">
        <f ca="1">S621+S624</f>
        <v>12944</v>
      </c>
      <c r="T618" s="224">
        <f ca="1">IF(Q618&gt;0,S618*100/Q618,0)</f>
        <v>58.970387243735765</v>
      </c>
      <c r="U618" s="224">
        <f ca="1">IF(R618&gt;0,S618*100/R618,0)</f>
        <v>62.607013301088273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21950</v>
      </c>
      <c r="R619" s="224">
        <f ca="1">R620+R621</f>
        <v>20675</v>
      </c>
      <c r="S619" s="224">
        <f ca="1">S620+S621</f>
        <v>12944</v>
      </c>
      <c r="T619" s="224">
        <f ca="1">IF(Q619&gt;0,S619*100/Q619,0)</f>
        <v>58.970387243735765</v>
      </c>
      <c r="U619" s="224">
        <f ca="1">IF(R619&gt;0,S619*100/R619,0)</f>
        <v>62.607013301088273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1" s="224">
        <f ca="1">IFERROR(__xludf.DUMMYFUNCTION("IMPORTRANGE(""https://docs.google.com/spreadsheets/d/1ItG2mGa2ceCfYo0BwxsXqNm01IGEUdYcSSLTEv9YCik/edit?usp=sharing"",""เบิกจ่ายกองทุน!G15"")"),20675)</f>
        <v>20675</v>
      </c>
      <c r="S621" s="224">
        <f ca="1">IFERROR(__xludf.DUMMYFUNCTION("IMPORTRANGE(""https://docs.google.com/spreadsheets/d/1ItG2mGa2ceCfYo0BwxsXqNm01IGEUdYcSSLTEv9YCik/edit?usp=sharing"",""เบิกจ่ายกองทุน!H15"")"),12944)</f>
        <v>12944</v>
      </c>
      <c r="T621" s="224">
        <f ca="1">IF(Q621&gt;0,S621*100/Q621,0)</f>
        <v>58.970387243735765</v>
      </c>
      <c r="U621" s="224">
        <f ca="1">IF(R621&gt;0,S621*100/R621,0)</f>
        <v>62.607013301088273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IFERROR(__xludf.DUMMYFUNCTION("IMPORTRANGE(""https://docs.google.com/spreadsheets/d/1eHaY18a8A9IcSdp1K8H6x8fbOy06t2VsZHhMHf-1x7Y/edit?usp=sharing"",""แผน!ID15"")"),200)</f>
        <v>200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IFERROR(__xludf.DUMMYFUNCTION("IMPORTRANGE(""https://docs.google.com/spreadsheets/d/1eHaY18a8A9IcSdp1K8H6x8fbOy06t2VsZHhMHf-1x7Y/edit?usp=sharing"",""แผน!IC15"")"),0)</f>
        <v>0</v>
      </c>
      <c r="J627" s="380">
        <v>2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IFERROR(__xludf.DUMMYFUNCTION("IMPORTRANGE(""https://docs.google.com/spreadsheets/d/1eHaY18a8A9IcSdp1K8H6x8fbOy06t2VsZHhMHf-1x7Y/edit?usp=sharing"",""แผน!IC15"")"),0)</f>
        <v>0</v>
      </c>
      <c r="J628" s="380">
        <v>18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449</v>
      </c>
      <c r="K629" s="224">
        <f ca="1">IF(I$626&gt;0,J629*100/I$626,0)</f>
        <v>224.5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IFERROR(__xludf.DUMMYFUNCTION("IMPORTRANGE(""https://docs.google.com/spreadsheets/d/1eHaY18a8A9IcSdp1K8H6x8fbOy06t2VsZHhMHf-1x7Y/edit?usp=sharing"",""แผน!IE15"")"),0)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IFERROR(__xludf.DUMMYFUNCTION("IMPORTRANGE(""https://docs.google.com/spreadsheets/d/1ItG2mGa2ceCfYo0BwxsXqNm01IGEUdYcSSLTEv9YCik/edit?usp=sharing"",""เบิกจ่ายกองทุน!K15"")"),0)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IFERROR(__xludf.DUMMYFUNCTION("IMPORTRANGE(""https://docs.google.com/spreadsheets/d/1eHaY18a8A9IcSdp1K8H6x8fbOy06t2VsZHhMHf-1x7Y/edit?usp=sharing"",""แผน!IF15"")"),0)</f>
        <v>0</v>
      </c>
      <c r="J652" s="184">
        <f ca="1">IFERROR(__xludf.DUMMYFUNCTION("IMPORTRANGE(""https://docs.google.com/spreadsheets/d/1tdoBKaGub7dwA3U6UFTqxio9LNnvDCQjHKmttSEBsFQ/edit?usp=sharing"",""จัดที่ดิน!AU15"")"),0)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IFERROR(__xludf.DUMMYFUNCTION("IMPORTRANGE(""https://docs.google.com/spreadsheets/d/1eHaY18a8A9IcSdp1K8H6x8fbOy06t2VsZHhMHf-1x7Y/edit?usp=sharing"",""แผน!IG15"")"),0)</f>
        <v>0</v>
      </c>
      <c r="J653" s="184">
        <f ca="1">IFERROR(__xludf.DUMMYFUNCTION("IMPORTRANGE(""https://docs.google.com/spreadsheets/d/1tdoBKaGub7dwA3U6UFTqxio9LNnvDCQjHKmttSEBsFQ/edit?usp=sharing"",""จัดที่ดิน!AW15"")"),0)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IFERROR(__xludf.DUMMYFUNCTION("IMPORTRANGE(""https://docs.google.com/spreadsheets/d/1eHaY18a8A9IcSdp1K8H6x8fbOy06t2VsZHhMHf-1x7Y/edit?usp=sharing"",""แผน!IH15"")"),0)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IFERROR(__xludf.DUMMYFUNCTION("IMPORTRANGE(""https://docs.google.com/spreadsheets/d/1eHaY18a8A9IcSdp1K8H6x8fbOy06t2VsZHhMHf-1x7Y/edit?usp=sharing"",""แผน!II15"")"),0)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IFERROR(__xludf.DUMMYFUNCTION("IMPORTRANGE(""https://docs.google.com/spreadsheets/d/1eHaY18a8A9IcSdp1K8H6x8fbOy06t2VsZHhMHf-1x7Y/edit?usp=sharing"",""แผน!IJ15"")"),0)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IFERROR(__xludf.DUMMYFUNCTION("IMPORTRANGE(""https://docs.google.com/spreadsheets/d/1eHaY18a8A9IcSdp1K8H6x8fbOy06t2VsZHhMHf-1x7Y/edit?usp=sharing"",""แผน!IK15"")"),0)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IFERROR(__xludf.DUMMYFUNCTION("IMPORTRANGE(""https://docs.google.com/spreadsheets/d/1tdoBKaGub7dwA3U6UFTqxio9LNnvDCQjHKmttSEBsFQ/edit?usp=sharing"",""จัดที่ดิน!AY15"")"),0)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IFERROR(__xludf.DUMMYFUNCTION("IMPORTRANGE(""https://docs.google.com/spreadsheets/d/1tdoBKaGub7dwA3U6UFTqxio9LNnvDCQjHKmttSEBsFQ/edit?usp=sharing"",""จัดที่ดิน!AZ15"")"),0)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IFERROR(__xludf.DUMMYFUNCTION("IMPORTRANGE(""https://docs.google.com/spreadsheets/d/1eHaY18a8A9IcSdp1K8H6x8fbOy06t2VsZHhMHf-1x7Y/edit?usp=sharing"",""แผน!IL15"")"),0)</f>
        <v>0</v>
      </c>
      <c r="J673" s="184">
        <f ca="1">IFERROR(__xludf.DUMMYFUNCTION("IMPORTRANGE(""https://docs.google.com/spreadsheets/d/1tdoBKaGub7dwA3U6UFTqxio9LNnvDCQjHKmttSEBsFQ/edit?usp=sharing"",""จัดที่ดิน!BA15"")"),0)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IFERROR(__xludf.DUMMYFUNCTION("IMPORTRANGE(""https://docs.google.com/spreadsheets/d/1eHaY18a8A9IcSdp1K8H6x8fbOy06t2VsZHhMHf-1x7Y/edit?usp=sharing"",""แผน!IM15"")"),0)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IFERROR(__xludf.DUMMYFUNCTION("IMPORTRANGE(""https://docs.google.com/spreadsheets/d/1eHaY18a8A9IcSdp1K8H6x8fbOy06t2VsZHhMHf-1x7Y/edit?usp=sharing"",""แผน!IN15"")"),0)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IFERROR(__xludf.DUMMYFUNCTION("IMPORTRANGE(""https://docs.google.com/spreadsheets/d/1eHaY18a8A9IcSdp1K8H6x8fbOy06t2VsZHhMHf-1x7Y/edit?usp=sharing"",""แผน!IO15"")"),0)</f>
        <v>0</v>
      </c>
      <c r="J676" s="184">
        <f ca="1">IFERROR(__xludf.DUMMYFUNCTION("IMPORTRANGE(""https://docs.google.com/spreadsheets/d/1tdoBKaGub7dwA3U6UFTqxio9LNnvDCQjHKmttSEBsFQ/edit?usp=sharing"",""จัดที่ดิน!BF15"")"),0)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IFERROR(__xludf.DUMMYFUNCTION("IMPORTRANGE(""https://docs.google.com/spreadsheets/d/1tdoBKaGub7dwA3U6UFTqxio9LNnvDCQjHKmttSEBsFQ/edit?usp=sharing"",""จัดที่ดิน!BG15"")"),0)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IFERROR(__xludf.DUMMYFUNCTION("IMPORTRANGE(""https://docs.google.com/spreadsheets/d/1eHaY18a8A9IcSdp1K8H6x8fbOy06t2VsZHhMHf-1x7Y/edit?usp=sharing"",""แผน!IP15"")"),0)</f>
        <v>0</v>
      </c>
      <c r="J678" s="184">
        <f ca="1">IFERROR(__xludf.DUMMYFUNCTION("IMPORTRANGE(""https://docs.google.com/spreadsheets/d/1tdoBKaGub7dwA3U6UFTqxio9LNnvDCQjHKmttSEBsFQ/edit?usp=sharing"",""จัดที่ดิน!BH15"")"),0)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IFERROR(__xludf.DUMMYFUNCTION("IMPORTRANGE(""https://docs.google.com/spreadsheets/d/1eHaY18a8A9IcSdp1K8H6x8fbOy06t2VsZHhMHf-1x7Y/edit?usp=sharing"",""แผน!IQ15"")"),0)</f>
        <v>0</v>
      </c>
      <c r="J679" s="184">
        <f ca="1">IFERROR(__xludf.DUMMYFUNCTION("IMPORTRANGE(""https://docs.google.com/spreadsheets/d/1tdoBKaGub7dwA3U6UFTqxio9LNnvDCQjHKmttSEBsFQ/edit?usp=sharing"",""จัดที่ดิน!BK15"")"),0)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IFERROR(__xludf.DUMMYFUNCTION("IMPORTRANGE(""https://docs.google.com/spreadsheets/d/1tdoBKaGub7dwA3U6UFTqxio9LNnvDCQjHKmttSEBsFQ/edit?usp=sharing"",""จัดที่ดิน!BL15"")"),0)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IFERROR(__xludf.DUMMYFUNCTION("IMPORTRANGE(""https://docs.google.com/spreadsheets/d/1eHaY18a8A9IcSdp1K8H6x8fbOy06t2VsZHhMHf-1x7Y/edit?usp=sharing"",""แผน!IR15"")"),0)</f>
        <v>0</v>
      </c>
      <c r="J681" s="184">
        <f ca="1">IFERROR(__xludf.DUMMYFUNCTION("IMPORTRANGE(""https://docs.google.com/spreadsheets/d/1tdoBKaGub7dwA3U6UFTqxio9LNnvDCQjHKmttSEBsFQ/edit?usp=sharing"",""จัดที่ดิน!BM15"")"),0)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IFERROR(__xludf.DUMMYFUNCTION("IMPORTRANGE(""https://docs.google.com/spreadsheets/d/1eHaY18a8A9IcSdp1K8H6x8fbOy06t2VsZHhMHf-1x7Y/edit?usp=sharing"",""แผน!IS15"")"),0)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100</v>
      </c>
      <c r="J689" s="552">
        <f ca="1">J707</f>
        <v>56</v>
      </c>
      <c r="K689" s="551">
        <f ca="1">IF(I689&gt;0,J689*100/I689,0)</f>
        <v>56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169140</v>
      </c>
      <c r="R690" s="547">
        <f ca="1">R691+R692</f>
        <v>169140</v>
      </c>
      <c r="S690" s="547">
        <f ca="1">S691+S692</f>
        <v>65025</v>
      </c>
      <c r="T690" s="547">
        <f ca="1">IF(Q690&gt;0,S690*100/Q690,0)</f>
        <v>38.444483859524652</v>
      </c>
      <c r="U690" s="547">
        <f ca="1">IF(R690&gt;0,S690*100/R690,0)</f>
        <v>38.444483859524652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169140</v>
      </c>
      <c r="R692" s="224">
        <f ca="1">R695+R698</f>
        <v>169140</v>
      </c>
      <c r="S692" s="224">
        <f ca="1">S695+S698</f>
        <v>65025</v>
      </c>
      <c r="T692" s="224">
        <f ca="1">IF(Q692&gt;0,S692*100/Q692,0)</f>
        <v>38.444483859524652</v>
      </c>
      <c r="U692" s="224">
        <f ca="1">IF(R692&gt;0,S692*100/R692,0)</f>
        <v>38.444483859524652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169140</v>
      </c>
      <c r="R693" s="224">
        <f ca="1">R694+R695</f>
        <v>169140</v>
      </c>
      <c r="S693" s="224">
        <f ca="1">S694+S695</f>
        <v>65025</v>
      </c>
      <c r="T693" s="224">
        <f ca="1">IF(Q693&gt;0,S693*100/Q693,0)</f>
        <v>38.444483859524652</v>
      </c>
      <c r="U693" s="224">
        <f ca="1">IF(R693&gt;0,S693*100/R693,0)</f>
        <v>38.444483859524652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5" s="224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5" s="224">
        <f ca="1">IFERROR(__xludf.DUMMYFUNCTION("IMPORTRANGE(""https://docs.google.com/spreadsheets/d/1ItG2mGa2ceCfYo0BwxsXqNm01IGEUdYcSSLTEv9YCik/edit?usp=sharing"",""เบิกจ่ายกองทุน!N15"")"),65025)</f>
        <v>65025</v>
      </c>
      <c r="T695" s="224">
        <f ca="1">IF(Q695&gt;0,S695*100/Q695,0)</f>
        <v>38.444483859524652</v>
      </c>
      <c r="U695" s="224">
        <f ca="1">IF(R695&gt;0,S695*100/R695,0)</f>
        <v>38.444483859524652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IFERROR(__xludf.DUMMYFUNCTION("IMPORTRANGE(""https://docs.google.com/spreadsheets/d/1eHaY18a8A9IcSdp1K8H6x8fbOy06t2VsZHhMHf-1x7Y/edit?usp=sharing"",""แผน!LC15"")"),0)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100</v>
      </c>
      <c r="J701" s="338">
        <f ca="1">J703+J705</f>
        <v>90</v>
      </c>
      <c r="K701" s="547">
        <f ca="1">IF(I701&gt;0,J701*100/I701,0)</f>
        <v>90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61.83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IFERROR(__xludf.DUMMYFUNCTION("IMPORTRANGE(""https://docs.google.com/spreadsheets/d/1eHaY18a8A9IcSdp1K8H6x8fbOy06t2VsZHhMHf-1x7Y/edit?usp=sharing"",""แผน!LJ15"")"),100)</f>
        <v>100</v>
      </c>
      <c r="J703" s="184">
        <f ca="1">IFERROR(__xludf.DUMMYFUNCTION("IMPORTRANGE(""https://docs.google.com/spreadsheets/d/1tdoBKaGub7dwA3U6UFTqxio9LNnvDCQjHKmttSEBsFQ/edit?usp=sharing"",""จัดที่ดิน!AP15"")"),90)</f>
        <v>90</v>
      </c>
      <c r="K703" s="224">
        <f ca="1">IF(I703&gt;0,J703*100/I703,0)</f>
        <v>90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IFERROR(__xludf.DUMMYFUNCTION("IMPORTRANGE(""https://docs.google.com/spreadsheets/d/1tdoBKaGub7dwA3U6UFTqxio9LNnvDCQjHKmttSEBsFQ/edit?usp=sharing"",""จัดที่ดิน!AQ15"")"),61.83)</f>
        <v>61.83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IFERROR(__xludf.DUMMYFUNCTION("IMPORTRANGE(""https://docs.google.com/spreadsheets/d/1eHaY18a8A9IcSdp1K8H6x8fbOy06t2VsZHhMHf-1x7Y/edit?usp=sharing"",""แผน!LK15"")"),0)</f>
        <v>0</v>
      </c>
      <c r="J705" s="184">
        <f ca="1">IFERROR(__xludf.DUMMYFUNCTION("IMPORTRANGE(""https://docs.google.com/spreadsheets/d/1tdoBKaGub7dwA3U6UFTqxio9LNnvDCQjHKmttSEBsFQ/edit?usp=sharing"",""จัดที่ดิน!AR15"")"),0)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IFERROR(__xludf.DUMMYFUNCTION("IMPORTRANGE(""https://docs.google.com/spreadsheets/d/1tdoBKaGub7dwA3U6UFTqxio9LNnvDCQjHKmttSEBsFQ/edit?usp=sharing"",""จัดที่ดิน!AS15"")"),0)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IFERROR(__xludf.DUMMYFUNCTION("IMPORTRANGE(""https://docs.google.com/spreadsheets/d/1eHaY18a8A9IcSdp1K8H6x8fbOy06t2VsZHhMHf-1x7Y/edit?usp=sharing"",""แผน!LJ15"")"),100)</f>
        <v>100</v>
      </c>
      <c r="J707" s="184">
        <f ca="1">IFERROR(__xludf.DUMMYFUNCTION("IMPORTRANGE(""https://docs.google.com/spreadsheets/d/1tdoBKaGub7dwA3U6UFTqxio9LNnvDCQjHKmttSEBsFQ/edit?usp=sharing"",""จัดที่ดิน!BN15"")"),56)</f>
        <v>56</v>
      </c>
      <c r="K707" s="224">
        <f ca="1">IF(I707&gt;0,J707*100/I707,0)</f>
        <v>56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IFERROR(__xludf.DUMMYFUNCTION("IMPORTRANGE(""https://docs.google.com/spreadsheets/d/1tdoBKaGub7dwA3U6UFTqxio9LNnvDCQjHKmttSEBsFQ/edit?usp=sharing"",""จัดที่ดิน!BO15"")"),40)</f>
        <v>40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IFERROR(__xludf.DUMMYFUNCTION("IMPORTRANGE(""https://docs.google.com/spreadsheets/d/1eHaY18a8A9IcSdp1K8H6x8fbOy06t2VsZHhMHf-1x7Y/edit?usp=sharing"",""แผน!LK15"")"),0)</f>
        <v>0</v>
      </c>
      <c r="J709" s="184">
        <f ca="1">IFERROR(__xludf.DUMMYFUNCTION("IMPORTRANGE(""https://docs.google.com/spreadsheets/d/1tdoBKaGub7dwA3U6UFTqxio9LNnvDCQjHKmttSEBsFQ/edit?usp=sharing"",""จัดที่ดิน!BP15"")"),0)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IFERROR(__xludf.DUMMYFUNCTION("IMPORTRANGE(""https://docs.google.com/spreadsheets/d/1tdoBKaGub7dwA3U6UFTqxio9LNnvDCQjHKmttSEBsFQ/edit?usp=sharing"",""จัดที่ดิน!BQ15"")"),0)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IFERROR(__xludf.DUMMYFUNCTION("IMPORTRANGE(""https://docs.google.com/spreadsheets/d/1eHaY18a8A9IcSdp1K8H6x8fbOy06t2VsZHhMHf-1x7Y/edit?usp=sharing"",""แผน!GA15"")"),128)</f>
        <v>128</v>
      </c>
      <c r="J726" s="552">
        <f>J742+J746+J749</f>
        <v>137</v>
      </c>
      <c r="K726" s="551">
        <f ca="1">IF(I726&gt;0,J726*100/I726,0)</f>
        <v>107.03125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IFERROR(__xludf.DUMMYFUNCTION("IMPORTRANGE(""https://docs.google.com/spreadsheets/d/1eHaY18a8A9IcSdp1K8H6x8fbOy06t2VsZHhMHf-1x7Y/edit?usp=sharing"",""แผน!FZ15"")"),1250)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1029470</v>
      </c>
      <c r="S728" s="547">
        <f ca="1">S729+S730</f>
        <v>638920.18000000005</v>
      </c>
      <c r="T728" s="547">
        <f ca="1">IF(Q728&gt;0,S728*100/Q728,0)</f>
        <v>63.355397780796658</v>
      </c>
      <c r="U728" s="547">
        <f ca="1">IF(R728&gt;0,S728*100/R728,0)</f>
        <v>62.063020777681729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1029470</v>
      </c>
      <c r="S730" s="224">
        <f ca="1">S733+S736</f>
        <v>638920.18000000005</v>
      </c>
      <c r="T730" s="224">
        <f ca="1">IF(Q730&gt;0,S730*100/Q730,0)</f>
        <v>63.355397780796658</v>
      </c>
      <c r="U730" s="224">
        <f ca="1">IF(R730&gt;0,S730*100/R730,0)</f>
        <v>62.063020777681729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1029470</v>
      </c>
      <c r="S731" s="224">
        <f ca="1">S732+S733</f>
        <v>638920.18000000005</v>
      </c>
      <c r="T731" s="224">
        <f ca="1">IF(Q731&gt;0,S731*100/Q731,0)</f>
        <v>63.355397780796658</v>
      </c>
      <c r="U731" s="224">
        <f ca="1">IF(R731&gt;0,S731*100/R731,0)</f>
        <v>62.063020777681729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IFERROR(__xludf.DUMMYFUNCTION("IMPORTRANGE(""https://docs.google.com/spreadsheets/d/1ItG2mGa2ceCfYo0BwxsXqNm01IGEUdYcSSLTEv9YCik/edit?usp=sharing"",""เบิกจ่ายกองทุน!P15"")"),1029470)</f>
        <v>1029470</v>
      </c>
      <c r="S733" s="224">
        <f ca="1">IFERROR(__xludf.DUMMYFUNCTION("IMPORTRANGE(""https://docs.google.com/spreadsheets/d/1ItG2mGa2ceCfYo0BwxsXqNm01IGEUdYcSSLTEv9YCik/edit?usp=sharing"",""เบิกจ่ายกองทุน!Q15"")"),638920.18)</f>
        <v>638920.18000000005</v>
      </c>
      <c r="T733" s="224">
        <f ca="1">IF(Q733&gt;0,S733*100/Q733,0)</f>
        <v>63.355397780796658</v>
      </c>
      <c r="U733" s="224">
        <f ca="1">IF(R733&gt;0,S733*100/R733,0)</f>
        <v>62.063020777681729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IFERROR(__xludf.DUMMYFUNCTION("IMPORTRANGE(""https://docs.google.com/spreadsheets/d/1eHaY18a8A9IcSdp1K8H6x8fbOy06t2VsZHhMHf-1x7Y/edit?usp=sharing"",""แผน!GB15"")"),1000)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IFERROR(__xludf.DUMMYFUNCTION("IMPORTRANGE(""https://docs.google.com/spreadsheets/d/1eHaY18a8A9IcSdp1K8H6x8fbOy06t2VsZHhMHf-1x7Y/edit?usp=sharing"",""แผน!GC15"")"),100)</f>
        <v>100</v>
      </c>
      <c r="J742" s="555">
        <v>137</v>
      </c>
      <c r="K742" s="558">
        <f ca="1">IF(I742&gt;0,J742*100/I742,0)</f>
        <v>137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IFERROR(__xludf.DUMMYFUNCTION("IMPORTRANGE(""https://docs.google.com/spreadsheets/d/1eHaY18a8A9IcSdp1K8H6x8fbOy06t2VsZHhMHf-1x7Y/edit?usp=sharing"",""แผน!GD15"")"),250)</f>
        <v>250</v>
      </c>
      <c r="J744" s="555">
        <v>0</v>
      </c>
      <c r="K744" s="558">
        <f ca="1">IF(I744&gt;0,J744*100/I744,0)</f>
        <v>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IFERROR(__xludf.DUMMYFUNCTION("IMPORTRANGE(""https://docs.google.com/spreadsheets/d/1eHaY18a8A9IcSdp1K8H6x8fbOy06t2VsZHhMHf-1x7Y/edit?usp=sharing"",""แผน!GE15"")"),25)</f>
        <v>25</v>
      </c>
      <c r="J746" s="555">
        <v>0</v>
      </c>
      <c r="K746" s="558">
        <f ca="1">IF(I746&gt;0,J746*100/I746,0)</f>
        <v>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IFERROR(__xludf.DUMMYFUNCTION("IMPORTRANGE(""https://docs.google.com/spreadsheets/d/1eHaY18a8A9IcSdp1K8H6x8fbOy06t2VsZHhMHf-1x7Y/edit?usp=sharing"",""แผน!GF15"")"),3)</f>
        <v>3</v>
      </c>
      <c r="J749" s="555">
        <v>0</v>
      </c>
      <c r="K749" s="558">
        <f ca="1">IF(I749&gt;0,J749*100/I749,0)</f>
        <v>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IFERROR(__xludf.DUMMYFUNCTION("IMPORTRANGE(""https://docs.google.com/spreadsheets/d/1eHaY18a8A9IcSdp1K8H6x8fbOy06t2VsZHhMHf-1x7Y/edit?usp=sharing"",""แผน!GB15"")"),1000)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IFERROR(__xludf.DUMMYFUNCTION("IMPORTRANGE(""https://docs.google.com/spreadsheets/d/1eHaY18a8A9IcSdp1K8H6x8fbOy06t2VsZHhMHf-1x7Y/edit?usp=sharing"",""แผน!GD15"")"),250)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150</v>
      </c>
      <c r="J758" s="552">
        <f>J772</f>
        <v>150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300</v>
      </c>
      <c r="J759" s="552">
        <f>J774</f>
        <v>300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22.5" customHeight="1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806680</v>
      </c>
      <c r="R760" s="547">
        <f ca="1">R761+R762</f>
        <v>806680</v>
      </c>
      <c r="S760" s="547">
        <f ca="1">S761+S762</f>
        <v>774231.67</v>
      </c>
      <c r="T760" s="547">
        <f ca="1">IF(Q760&gt;0,S760*100/Q760,0)</f>
        <v>95.977546238905148</v>
      </c>
      <c r="U760" s="547">
        <f ca="1">IF(R760&gt;0,S760*100/R760,0)</f>
        <v>95.977546238905148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806680</v>
      </c>
      <c r="R762" s="224">
        <f ca="1">R765+R768</f>
        <v>806680</v>
      </c>
      <c r="S762" s="224">
        <f ca="1">S765+S768</f>
        <v>774231.67</v>
      </c>
      <c r="T762" s="224">
        <f ca="1">IF(Q762&gt;0,S762*100/Q762,0)</f>
        <v>95.977546238905148</v>
      </c>
      <c r="U762" s="224">
        <f ca="1">IF(R762&gt;0,S762*100/R762,0)</f>
        <v>95.977546238905148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806680</v>
      </c>
      <c r="R763" s="224">
        <f ca="1">R764+R765</f>
        <v>806680</v>
      </c>
      <c r="S763" s="224">
        <f ca="1">S764+S765</f>
        <v>774231.67</v>
      </c>
      <c r="T763" s="224">
        <f ca="1">IF(Q763&gt;0,S763*100/Q763,0)</f>
        <v>95.977546238905148</v>
      </c>
      <c r="U763" s="224">
        <f ca="1">IF(R763&gt;0,S763*100/R763,0)</f>
        <v>95.977546238905148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IFERROR(__xludf.DUMMYFUNCTION("IMPORTRANGE(""https://docs.google.com/spreadsheets/d/1ItG2mGa2ceCfYo0BwxsXqNm01IGEUdYcSSLTEv9YCik/edit?usp=sharing"",""เบิกจ่ายกองทุน!AA15"")"),806680)</f>
        <v>806680</v>
      </c>
      <c r="R765" s="224">
        <f ca="1">IFERROR(__xludf.DUMMYFUNCTION("IMPORTRANGE(""https://docs.google.com/spreadsheets/d/1ItG2mGa2ceCfYo0BwxsXqNm01IGEUdYcSSLTEv9YCik/edit?usp=sharing"",""เบิกจ่ายกองทุน!AB15"")"),806680)</f>
        <v>806680</v>
      </c>
      <c r="S765" s="224">
        <f ca="1">IFERROR(__xludf.DUMMYFUNCTION("IMPORTRANGE(""https://docs.google.com/spreadsheets/d/1ItG2mGa2ceCfYo0BwxsXqNm01IGEUdYcSSLTEv9YCik/edit?usp=sharing"",""เบิกจ่ายกองทุน!AC15"")"),774231.67)</f>
        <v>774231.67</v>
      </c>
      <c r="T765" s="224">
        <f ca="1">IF(Q765&gt;0,S765*100/Q765,0)</f>
        <v>95.977546238905148</v>
      </c>
      <c r="U765" s="224">
        <f ca="1">IF(R765&gt;0,S765*100/R765,0)</f>
        <v>95.977546238905148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IFERROR(__xludf.DUMMYFUNCTION("IMPORTRANGE(""https://docs.google.com/spreadsheets/d/1eHaY18a8A9IcSdp1K8H6x8fbOy06t2VsZHhMHf-1x7Y/edit?usp=sharing"",""แผน!FI15"")"),1)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IFERROR(__xludf.DUMMYFUNCTION("IMPORTRANGE(""https://docs.google.com/spreadsheets/d/1eHaY18a8A9IcSdp1K8H6x8fbOy06t2VsZHhMHf-1x7Y/edit?usp=sharing"",""แผน!FQ15"")"),150)</f>
        <v>150</v>
      </c>
      <c r="J772" s="380">
        <v>150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IFERROR(__xludf.DUMMYFUNCTION("IMPORTRANGE(""https://docs.google.com/spreadsheets/d/1eHaY18a8A9IcSdp1K8H6x8fbOy06t2VsZHhMHf-1x7Y/edit?usp=sharing"",""แผน!FR15"")"),300)</f>
        <v>300</v>
      </c>
      <c r="J774" s="380">
        <v>300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IFERROR(__xludf.DUMMYFUNCTION("IMPORTRANGE(""https://docs.google.com/spreadsheets/d/1eHaY18a8A9IcSdp1K8H6x8fbOy06t2VsZHhMHf-1x7Y/edit?usp=sharing"",""แผน!FS15"")"),300)</f>
        <v>300</v>
      </c>
      <c r="J775" s="380">
        <v>300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IFERROR(__xludf.DUMMYFUNCTION("IMPORTRANGE(""https://docs.google.com/spreadsheets/d/1eHaY18a8A9IcSdp1K8H6x8fbOy06t2VsZHhMHf-1x7Y/edit?usp=sharing"",""แผน!FT15"")"),150)</f>
        <v>150</v>
      </c>
      <c r="J776" s="542">
        <v>150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IFERROR(__xludf.DUMMYFUNCTION("IMPORTRANGE(""https://docs.google.com/spreadsheets/d/10OvvATaaLtwErnr3qtWFcTmtbfpFEt5Bsqel9sXx0uE/edit?usp=sharing"",""งานกองทุน!D15"")"),6518675.45)</f>
        <v>6518675.4500000002</v>
      </c>
      <c r="J778" s="184">
        <f ca="1">IFERROR(__xludf.DUMMYFUNCTION("IMPORTRANGE(""https://docs.google.com/spreadsheets/d/10OvvATaaLtwErnr3qtWFcTmtbfpFEt5Bsqel9sXx0uE/edit?usp=sharing"",""งานกองทุน!F15"")"),4638119.46)</f>
        <v>4638119.46</v>
      </c>
      <c r="K778" s="224">
        <f ca="1">IF(I778&gt;0,J778*100/I778,0)</f>
        <v>71.151256042360572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IFERROR(__xludf.DUMMYFUNCTION("IMPORTRANGE(""https://docs.google.com/spreadsheets/d/10OvvATaaLtwErnr3qtWFcTmtbfpFEt5Bsqel9sXx0uE/edit?usp=sharing"",""งานกองทุน!C15"")"),201)</f>
        <v>201</v>
      </c>
      <c r="J779" s="184">
        <f ca="1">IFERROR(__xludf.DUMMYFUNCTION("IMPORTRANGE(""https://docs.google.com/spreadsheets/d/10OvvATaaLtwErnr3qtWFcTmtbfpFEt5Bsqel9sXx0uE/edit?usp=sharing"",""งานกองทุน!E15"")"),186)</f>
        <v>186</v>
      </c>
      <c r="K779" s="224">
        <f ca="1">IF(I779&gt;0,J779*100/I779,0)</f>
        <v>92.537313432835816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184">
        <f ca="1">IFERROR(__xludf.DUMMYFUNCTION("IMPORTRANGE(""https://docs.google.com/spreadsheets/d/10OvvATaaLtwErnr3qtWFcTmtbfpFEt5Bsqel9sXx0uE/edit?usp=sharing"",""งานกองทุน!K15"")"),490030.3)</f>
        <v>490030.3</v>
      </c>
      <c r="K780" s="224">
        <f ca="1">IF(I780&gt;0,J780*100/I780,0)</f>
        <v>11.201447075300257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IFERROR(__xludf.DUMMYFUNCTION("IMPORTRANGE(""https://docs.google.com/spreadsheets/d/10OvvATaaLtwErnr3qtWFcTmtbfpFEt5Bsqel9sXx0uE/edit?usp=sharing"",""งานกองทุน!H15"")"),145)</f>
        <v>145</v>
      </c>
      <c r="J781" s="184">
        <f ca="1">IFERROR(__xludf.DUMMYFUNCTION("IMPORTRANGE(""https://docs.google.com/spreadsheets/d/10OvvATaaLtwErnr3qtWFcTmtbfpFEt5Bsqel9sXx0uE/edit?usp=sharing"",""งานกองทุน!J15"")"),69)</f>
        <v>69</v>
      </c>
      <c r="K781" s="224">
        <f ca="1">IF(I781&gt;0,J781*100/I781,0)</f>
        <v>47.586206896551722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IFERROR(__xludf.DUMMYFUNCTION("IMPORTRANGE(""https://docs.google.com/spreadsheets/d/10OvvATaaLtwErnr3qtWFcTmtbfpFEt5Bsqel9sXx0uE/edit?usp=sharing"",""งานกองทุน!N15"")"),765685.64)</f>
        <v>765685.64</v>
      </c>
      <c r="J782" s="184">
        <f ca="1">IFERROR(__xludf.DUMMYFUNCTION("IMPORTRANGE(""https://docs.google.com/spreadsheets/d/10OvvATaaLtwErnr3qtWFcTmtbfpFEt5Bsqel9sXx0uE/edit?usp=sharing"",""งานกองทุน!P15"")"),349596.83)</f>
        <v>349596.83</v>
      </c>
      <c r="K782" s="224">
        <f ca="1">IF(I782&gt;0,J782*100/I782,0)</f>
        <v>45.65801051199027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IFERROR(__xludf.DUMMYFUNCTION("IMPORTRANGE(""https://docs.google.com/spreadsheets/d/10OvvATaaLtwErnr3qtWFcTmtbfpFEt5Bsqel9sXx0uE/edit?usp=sharing"",""งานกองทุน!M15"")"),41)</f>
        <v>41</v>
      </c>
      <c r="J783" s="184">
        <f ca="1">IFERROR(__xludf.DUMMYFUNCTION("IMPORTRANGE(""https://docs.google.com/spreadsheets/d/10OvvATaaLtwErnr3qtWFcTmtbfpFEt5Bsqel9sXx0uE/edit?usp=sharing"",""งานกองทุน!O15"")"),31)</f>
        <v>31</v>
      </c>
      <c r="K783" s="224">
        <f ca="1">IF(I783&gt;0,J783*100/I783,0)</f>
        <v>75.609756097560975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IFERROR(__xludf.DUMMYFUNCTION("IMPORTRANGE(""https://docs.google.com/spreadsheets/d/10OvvATaaLtwErnr3qtWFcTmtbfpFEt5Bsqel9sXx0uE/edit?usp=sharing"",""งานกองทุน!S15"")"),9072000)</f>
        <v>9072000</v>
      </c>
      <c r="J784" s="184">
        <f ca="1">IFERROR(__xludf.DUMMYFUNCTION("IMPORTRANGE(""https://docs.google.com/spreadsheets/d/10OvvATaaLtwErnr3qtWFcTmtbfpFEt5Bsqel9sXx0uE/edit?usp=sharing"",""งานกองทุน!U15"")"),5055000)</f>
        <v>5055000</v>
      </c>
      <c r="K784" s="224">
        <f ca="1">IF(I784&gt;0,J784*100/I784,0)</f>
        <v>55.720899470899468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IFERROR(__xludf.DUMMYFUNCTION("IMPORTRANGE(""https://docs.google.com/spreadsheets/d/10OvvATaaLtwErnr3qtWFcTmtbfpFEt5Bsqel9sXx0uE/edit?usp=sharing"",""งานกองทุน!R15"")"),324)</f>
        <v>324</v>
      </c>
      <c r="J785" s="188">
        <f ca="1">IFERROR(__xludf.DUMMYFUNCTION("IMPORTRANGE(""https://docs.google.com/spreadsheets/d/10OvvATaaLtwErnr3qtWFcTmtbfpFEt5Bsqel9sXx0uE/edit?usp=sharing"",""งานกองทุน!T15"")"),155)</f>
        <v>155</v>
      </c>
      <c r="K785" s="508">
        <f ca="1">IF(I785&gt;0,J785*100/I785,0)</f>
        <v>47.839506172839506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3F002-A647-4137-ADE1-54E529C317F9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323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3661580</v>
      </c>
      <c r="M18" s="755">
        <f ca="1">M19+M20</f>
        <v>4736099.12</v>
      </c>
      <c r="N18" s="755">
        <f ca="1">N19+N20</f>
        <v>4462123.74</v>
      </c>
      <c r="O18" s="755">
        <f ca="1">IF(L18&gt;0,N18*100/L18,0)</f>
        <v>121.86334150831063</v>
      </c>
      <c r="P18" s="755">
        <f ca="1">IF(M18&gt;0,N18*100/M18,0)</f>
        <v>94.215167946062749</v>
      </c>
      <c r="Q18" s="755">
        <f ca="1">Q19+Q20</f>
        <v>2777924.24</v>
      </c>
      <c r="R18" s="755">
        <f ca="1">R19+R20</f>
        <v>2782024</v>
      </c>
      <c r="S18" s="755">
        <f ca="1">S19+S20</f>
        <v>2256196.56</v>
      </c>
      <c r="T18" s="755">
        <f ca="1">IF(Q18&gt;0,S18*100/Q18,0)</f>
        <v>81.218793785391341</v>
      </c>
      <c r="U18" s="755">
        <f ca="1">IF(R18&gt;0,S18*100/R18,0)</f>
        <v>81.099104824401223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3661580</v>
      </c>
      <c r="M20" s="794">
        <f ca="1">M23+M26</f>
        <v>4736099.12</v>
      </c>
      <c r="N20" s="794">
        <f ca="1">N23+N26</f>
        <v>4462123.74</v>
      </c>
      <c r="O20" s="794">
        <f ca="1">IF(L20&gt;0,N20*100/L20,0)</f>
        <v>121.86334150831063</v>
      </c>
      <c r="P20" s="794">
        <f ca="1">IF(M20&gt;0,N20*100/M20,0)</f>
        <v>94.215167946062749</v>
      </c>
      <c r="Q20" s="794">
        <f ca="1">Q23+Q26</f>
        <v>2777924.24</v>
      </c>
      <c r="R20" s="794">
        <f ca="1">R23+R26</f>
        <v>2782024</v>
      </c>
      <c r="S20" s="794">
        <f ca="1">S23+S26</f>
        <v>2256196.56</v>
      </c>
      <c r="T20" s="794">
        <f ca="1">IF(Q20&gt;0,S20*100/Q20,0)</f>
        <v>81.218793785391341</v>
      </c>
      <c r="U20" s="794">
        <f ca="1">IF(R20&gt;0,S20*100/R20,0)</f>
        <v>81.099104824401223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3652080</v>
      </c>
      <c r="M21" s="224">
        <f ca="1">M22+M23</f>
        <v>4726599.12</v>
      </c>
      <c r="N21" s="224">
        <f ca="1">N22+N23</f>
        <v>4452623.74</v>
      </c>
      <c r="O21" s="224">
        <f ca="1">IF(L21&gt;0,N21*100/L21,0)</f>
        <v>121.92021368644717</v>
      </c>
      <c r="P21" s="224">
        <f ca="1">IF(M21&gt;0,N21*100/M21,0)</f>
        <v>94.203541001801739</v>
      </c>
      <c r="Q21" s="224">
        <f ca="1">Q22+Q23</f>
        <v>2647924.2400000002</v>
      </c>
      <c r="R21" s="224">
        <f ca="1">R22+R23</f>
        <v>2652024</v>
      </c>
      <c r="S21" s="224">
        <f ca="1">S22+S23</f>
        <v>2256196.56</v>
      </c>
      <c r="T21" s="224">
        <f ca="1">IF(Q21&gt;0,S21*100/Q21,0)</f>
        <v>85.206235356642978</v>
      </c>
      <c r="U21" s="224">
        <f ca="1">IF(R21&gt;0,S21*100/R21,0)</f>
        <v>85.074515162758715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3652080</v>
      </c>
      <c r="M23" s="224">
        <f ca="1">M49+M64+M77+M99+M122+M144+M162+M191+M178+M271+M287+M308+M325+M338+M361+M380+M418+M498+M518+M539+M560+M581+M604+M621+M647+M695+M719+M733+M765</f>
        <v>4726599.12</v>
      </c>
      <c r="N23" s="224">
        <f ca="1">N49+N64+N77+N99+N122+N144+N162+N191+N178+N271+N287+N308+N325+N338+N361+N380+N418+N498+N518+N539+N560+N581+N604+N621+N647+N695+N719+N733+N765</f>
        <v>4452623.74</v>
      </c>
      <c r="O23" s="224">
        <f ca="1">IF(L23&gt;0,N23*100/L23,0)</f>
        <v>121.92021368644717</v>
      </c>
      <c r="P23" s="224">
        <f ca="1">IF(M23&gt;0,N23*100/M23,0)</f>
        <v>94.203541001801739</v>
      </c>
      <c r="Q23" s="224">
        <f ca="1">Q77+Q99+Q122+Q144+Q162+Q178+Q191+Q271+Q287+Q308+Q338+Q380+Q397+Q418+Q498+Q604+Q621+Q647+Q695+Q719+Q733+Q765</f>
        <v>2647924.2400000002</v>
      </c>
      <c r="R23" s="224">
        <f ca="1">R77+R99+R122+R144+R162+R178+R191+R271+R287+R308+R338+R380+R397+R418+R498+R604+R621+R647+R695+R719+R733+R765</f>
        <v>2652024</v>
      </c>
      <c r="S23" s="224">
        <f ca="1">S77+S99+S122+S144+S162+S178+S191+S271+S287+S308+S338+S380+S397+S418+S498+S604+S621+S647+S695+S719+S733+S765</f>
        <v>2256196.56</v>
      </c>
      <c r="T23" s="224">
        <f ca="1">IF(Q23&gt;0,S23*100/Q23,0)</f>
        <v>85.206235356642978</v>
      </c>
      <c r="U23" s="224">
        <f ca="1">IF(R23&gt;0,S23*100/R23,0)</f>
        <v>85.074515162758715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9500</v>
      </c>
      <c r="M24" s="224">
        <f ca="1">M25+M26</f>
        <v>9500</v>
      </c>
      <c r="N24" s="224">
        <f ca="1">N25+N26</f>
        <v>9500</v>
      </c>
      <c r="O24" s="224">
        <f ca="1">IF(L24&gt;0,N24*100/L24,0)</f>
        <v>100</v>
      </c>
      <c r="P24" s="224">
        <f ca="1">IF(M24&gt;0,N24*100/M24,0)</f>
        <v>100</v>
      </c>
      <c r="Q24" s="224">
        <f ca="1">Q25+Q26</f>
        <v>130000</v>
      </c>
      <c r="R24" s="224">
        <f ca="1">R25+R26</f>
        <v>130000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9500</v>
      </c>
      <c r="M26" s="224">
        <f ca="1">M52+M67+M80+M102+M125+M147+M165+M194+M181+M274+M290+M311+M328+M341+M364+M383+M421+M501+M521+M542+M563+M584+M607+M624+M650+M698+M722+M736+M768</f>
        <v>9500</v>
      </c>
      <c r="N26" s="224">
        <f ca="1">N52+N67+N80+N102+N125+N147+N165+N194+N181+N274+N290+N311+N328+N341+N364+N383+N421+N501+N521+N542+N563+N584+N607+N624+N650+N698+N722+N736+N768</f>
        <v>9500</v>
      </c>
      <c r="O26" s="224">
        <f ca="1">IF(L26&gt;0,N26*100/L26,0)</f>
        <v>100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130000</v>
      </c>
      <c r="R26" s="83">
        <f ca="1">R80+R102+R125+R147+R165+R181+R194+R274+R290+R311+R341+R383+R400+R421+R501+R607+R624+R650+R698+R722+R736+R768</f>
        <v>130000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3561040</v>
      </c>
      <c r="M40" s="790">
        <f ca="1">M44+M59+M72+M94+M125+M139+M157+M173+M186+M266+M282+M303+M320+M333+M356</f>
        <v>4635559.12</v>
      </c>
      <c r="N40" s="790">
        <f ca="1">N44+N59+N72+N94+N125+N139+N157+N173+N186+N266+N282+N303+N320+N333+N356</f>
        <v>4372033.74</v>
      </c>
      <c r="O40" s="790">
        <f ca="1">IF(L40&gt;0,N40*100/L40,0)</f>
        <v>122.77406993462584</v>
      </c>
      <c r="P40" s="790">
        <f ca="1">IF(M40&gt;0,N40*100/M40,0)</f>
        <v>94.315132798910355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854200</v>
      </c>
      <c r="M44" s="784">
        <f ca="1">M45+M46</f>
        <v>805922.12</v>
      </c>
      <c r="N44" s="784">
        <f ca="1">N45+N46</f>
        <v>736572.12</v>
      </c>
      <c r="O44" s="784">
        <f ca="1">IF(L44&gt;0,N44*100/L44,0)</f>
        <v>86.229468508546006</v>
      </c>
      <c r="P44" s="784">
        <f ca="1">IF(M44&gt;0,N44*100/M44,0)</f>
        <v>91.394950172108437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854200</v>
      </c>
      <c r="M46" s="778">
        <f ca="1">M49+M52</f>
        <v>805922.12</v>
      </c>
      <c r="N46" s="778">
        <f ca="1">N49+N52</f>
        <v>736572.12</v>
      </c>
      <c r="O46" s="778">
        <f ca="1">IF(L46&gt;0,N46*100/L46,0)</f>
        <v>86.229468508546006</v>
      </c>
      <c r="P46" s="778">
        <f ca="1">IF(M46&gt;0,N46*100/M46,0)</f>
        <v>91.394950172108437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854200</v>
      </c>
      <c r="M47" s="224">
        <f ca="1">M48+M49</f>
        <v>805922.12</v>
      </c>
      <c r="N47" s="224">
        <f ca="1">N48+N49</f>
        <v>736572.12</v>
      </c>
      <c r="O47" s="224">
        <f ca="1">IF(L47&gt;0,N47*100/L47,0)</f>
        <v>86.229468508546006</v>
      </c>
      <c r="P47" s="224">
        <f ca="1">IF(M47&gt;0,N47*100/M47,0)</f>
        <v>91.394950172108437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IFERROR(__xludf.DUMMYFUNCTION("IMPORTRANGE(""https://docs.google.com/spreadsheets/d/1-uDff_7J0KD5mKrp0Vvzr7lt3OU09vwQwhkpOPPYv2Y/edit?usp=sharing"",""งบพรบ!P16"")"),854200)</f>
        <v>854200</v>
      </c>
      <c r="M49" s="224">
        <f ca="1">IFERROR(__xludf.DUMMYFUNCTION("IMPORTRANGE(""https://docs.google.com/spreadsheets/d/1-uDff_7J0KD5mKrp0Vvzr7lt3OU09vwQwhkpOPPYv2Y/edit?usp=sharing"",""งบพรบ!V16"")"),805922.12)</f>
        <v>805922.12</v>
      </c>
      <c r="N49" s="224">
        <f ca="1">IFERROR(__xludf.DUMMYFUNCTION("IMPORTRANGE(""https://docs.google.com/spreadsheets/d/1-uDff_7J0KD5mKrp0Vvzr7lt3OU09vwQwhkpOPPYv2Y/edit?usp=sharing"",""งบพรบ!Y16"")"),736572.12)</f>
        <v>736572.12</v>
      </c>
      <c r="O49" s="224">
        <f ca="1">IF(L49&gt;0,N49*100/L49,0)</f>
        <v>86.229468508546006</v>
      </c>
      <c r="P49" s="224">
        <f ca="1">IF(M49&gt;0,N49*100/M49,0)</f>
        <v>91.394950172108437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IFERROR(__xludf.DUMMYFUNCTION("IMPORTRANGE(""https://docs.google.com/spreadsheets/d/1-uDff_7J0KD5mKrp0Vvzr7lt3OU09vwQwhkpOPPYv2Y/edit?usp=sharing"",""งบพรบ!S16"")"),0)</f>
        <v>0</v>
      </c>
      <c r="M52" s="224">
        <f ca="1">IFERROR(__xludf.DUMMYFUNCTION("IMPORTRANGE(""https://docs.google.com/spreadsheets/d/1-uDff_7J0KD5mKrp0Vvzr7lt3OU09vwQwhkpOPPYv2Y/edit?usp=sharing"",""งบพรบ!W16"")"),0)</f>
        <v>0</v>
      </c>
      <c r="N52" s="224">
        <f ca="1">IFERROR(__xludf.DUMMYFUNCTION("IMPORTRANGE(""https://docs.google.com/spreadsheets/d/1-uDff_7J0KD5mKrp0Vvzr7lt3OU09vwQwhkpOPPYv2Y/edit?usp=sharing"",""งบพรบ!Z16"")"),0)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729800</v>
      </c>
      <c r="M59" s="772">
        <f ca="1">M60+M61</f>
        <v>816340</v>
      </c>
      <c r="N59" s="772">
        <f ca="1">N60+N61</f>
        <v>791687.31</v>
      </c>
      <c r="O59" s="772">
        <f ca="1">IF(L59&gt;0,N59*100/L59,0)</f>
        <v>108.48003699643738</v>
      </c>
      <c r="P59" s="772">
        <f ca="1">IF(M59&gt;0,N59*100/M59,0)</f>
        <v>96.98009530342749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729800</v>
      </c>
      <c r="M61" s="766">
        <f ca="1">M64+M67</f>
        <v>816340</v>
      </c>
      <c r="N61" s="766">
        <f ca="1">N64+N67</f>
        <v>791687.31</v>
      </c>
      <c r="O61" s="766">
        <f ca="1">IF(L61&gt;0,N61*100/L61,0)</f>
        <v>108.48003699643738</v>
      </c>
      <c r="P61" s="766">
        <f ca="1">IF(M61&gt;0,N61*100/M61,0)</f>
        <v>96.98009530342749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720300</v>
      </c>
      <c r="M62" s="224">
        <f ca="1">M63+M64</f>
        <v>806840</v>
      </c>
      <c r="N62" s="224">
        <f ca="1">N63+N64</f>
        <v>782187.31</v>
      </c>
      <c r="O62" s="224">
        <f ca="1">IF(L62&gt;0,N62*100/L62,0)</f>
        <v>108.59187977231709</v>
      </c>
      <c r="P62" s="224">
        <f ca="1">IF(M62&gt;0,N62*100/M62,0)</f>
        <v>96.944537950523028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IFERROR(__xludf.DUMMYFUNCTION("IMPORTRANGE(""https://docs.google.com/spreadsheets/d/1-uDff_7J0KD5mKrp0Vvzr7lt3OU09vwQwhkpOPPYv2Y/edit?usp=sharing"",""งบพรบ!AC16"")"),720300)</f>
        <v>720300</v>
      </c>
      <c r="M64" s="224">
        <f ca="1">IFERROR(__xludf.DUMMYFUNCTION("IMPORTRANGE(""https://docs.google.com/spreadsheets/d/1-uDff_7J0KD5mKrp0Vvzr7lt3OU09vwQwhkpOPPYv2Y/edit?usp=sharing"",""งบพรบ!AH16"")"),806840)</f>
        <v>806840</v>
      </c>
      <c r="N64" s="224">
        <f ca="1">IFERROR(__xludf.DUMMYFUNCTION("IMPORTRANGE(""https://docs.google.com/spreadsheets/d/1-uDff_7J0KD5mKrp0Vvzr7lt3OU09vwQwhkpOPPYv2Y/edit?usp=sharing"",""งบพรบ!AJ16"")"),782187.31)</f>
        <v>782187.31</v>
      </c>
      <c r="O64" s="224">
        <f ca="1">IF(L64&gt;0,N64*100/L64,0)</f>
        <v>108.59187977231709</v>
      </c>
      <c r="P64" s="224">
        <f ca="1">IF(M64&gt;0,N64*100/M64,0)</f>
        <v>96.944537950523028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9500</v>
      </c>
      <c r="M65" s="224">
        <f ca="1">M66+M67</f>
        <v>9500</v>
      </c>
      <c r="N65" s="224">
        <f ca="1">N66+N67</f>
        <v>9500</v>
      </c>
      <c r="O65" s="224">
        <f ca="1">IF(L65&gt;0,N65*100/L65,0)</f>
        <v>100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IFERROR(__xludf.DUMMYFUNCTION("IMPORTRANGE(""https://docs.google.com/spreadsheets/d/1-uDff_7J0KD5mKrp0Vvzr7lt3OU09vwQwhkpOPPYv2Y/edit?usp=sharing"",""งบพรบ!AF16"")"),9500)</f>
        <v>9500</v>
      </c>
      <c r="M67" s="508">
        <f ca="1">IFERROR(__xludf.DUMMYFUNCTION("IMPORTRANGE(""https://docs.google.com/spreadsheets/d/1-uDff_7J0KD5mKrp0Vvzr7lt3OU09vwQwhkpOPPYv2Y/edit?usp=sharing"",""งบพรบ!AI16"")"),9500)</f>
        <v>9500</v>
      </c>
      <c r="N67" s="508">
        <f ca="1">IFERROR(__xludf.DUMMYFUNCTION("IMPORTRANGE(""https://docs.google.com/spreadsheets/d/1-uDff_7J0KD5mKrp0Vvzr7lt3OU09vwQwhkpOPPYv2Y/edit?usp=sharing"",""งบพรบ!AK16"")"),9500)</f>
        <v>9500</v>
      </c>
      <c r="O67" s="508">
        <f ca="1">IF(L67&gt;0,N67*100/L67,0)</f>
        <v>100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80000</v>
      </c>
      <c r="N72" s="547">
        <f ca="1">N73+N74</f>
        <v>80000</v>
      </c>
      <c r="O72" s="547">
        <f ca="1">IF(L72&gt;0,N72*100/L72,0)</f>
        <v>0</v>
      </c>
      <c r="P72" s="547">
        <f ca="1">IF(M72&gt;0,N72*100/M72,0)</f>
        <v>100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80000</v>
      </c>
      <c r="N74" s="224">
        <f ca="1">N77+N80</f>
        <v>80000</v>
      </c>
      <c r="O74" s="224">
        <f ca="1">IF(L74&gt;0,N74*100/L74,0)</f>
        <v>0</v>
      </c>
      <c r="P74" s="224">
        <f ca="1">IF(M74&gt;0,N74*100/M74,0)</f>
        <v>100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80000</v>
      </c>
      <c r="N75" s="224">
        <f ca="1">N76+N77</f>
        <v>80000</v>
      </c>
      <c r="O75" s="224">
        <f ca="1">IF(L75&gt;0,N75*100/L75,0)</f>
        <v>0</v>
      </c>
      <c r="P75" s="224">
        <f ca="1">IF(M75&gt;0,N75*100/M75,0)</f>
        <v>100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IFERROR(__xludf.DUMMYFUNCTION("IMPORTRANGE(""https://docs.google.com/spreadsheets/d/1-uDff_7J0KD5mKrp0Vvzr7lt3OU09vwQwhkpOPPYv2Y/edit?usp=sharing"",""งบพรบ!AM16"")"),0)</f>
        <v>0</v>
      </c>
      <c r="M77" s="224">
        <f ca="1">IFERROR(__xludf.DUMMYFUNCTION("IMPORTRANGE(""https://docs.google.com/spreadsheets/d/1-uDff_7J0KD5mKrp0Vvzr7lt3OU09vwQwhkpOPPYv2Y/edit?usp=sharing"",""งบพรบ!AR16"")"),80000)</f>
        <v>80000</v>
      </c>
      <c r="N77" s="224">
        <f ca="1">IFERROR(__xludf.DUMMYFUNCTION("IMPORTRANGE(""https://docs.google.com/spreadsheets/d/1-uDff_7J0KD5mKrp0Vvzr7lt3OU09vwQwhkpOPPYv2Y/edit?usp=sharing"",""งบพรบ!AT16"")"),80000)</f>
        <v>80000</v>
      </c>
      <c r="O77" s="224">
        <f ca="1">IF(L77&gt;0,N77*100/L77,0)</f>
        <v>0</v>
      </c>
      <c r="P77" s="224">
        <f ca="1">IF(M77&gt;0,N77*100/M77,0)</f>
        <v>100</v>
      </c>
      <c r="Q77" s="224">
        <f ca="1">IFERROR(__xludf.DUMMYFUNCTION("IMPORTRANGE(""https://docs.google.com/spreadsheets/d/1ItG2mGa2ceCfYo0BwxsXqNm01IGEUdYcSSLTEv9YCik/edit?usp=sharing"",""เบิกจ่ายกองทุน!BH16"")"),0)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IFERROR(__xludf.DUMMYFUNCTION("IMPORTRANGE(""https://docs.google.com/spreadsheets/d/1ItG2mGa2ceCfYo0BwxsXqNm01IGEUdYcSSLTEv9YCik/edit?usp=sharing"",""เบิกจ่ายกองทุน!BI16"")"),0)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IFERROR(__xludf.DUMMYFUNCTION("IMPORTRANGE(""https://docs.google.com/spreadsheets/d/1ItG2mGa2ceCfYo0BwxsXqNm01IGEUdYcSSLTEv9YCik/edit?usp=sharing"",""เบิกจ่ายกองทุน!BJ16"")"),0)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IFERROR(__xludf.DUMMYFUNCTION("IMPORTRANGE(""https://docs.google.com/spreadsheets/d/1-uDff_7J0KD5mKrp0Vvzr7lt3OU09vwQwhkpOPPYv2Y/edit?usp=sharing"",""งบพรบ!AP16"")"),0)</f>
        <v>0</v>
      </c>
      <c r="M80" s="224">
        <f ca="1">IFERROR(__xludf.DUMMYFUNCTION("IMPORTRANGE(""https://docs.google.com/spreadsheets/d/1-uDff_7J0KD5mKrp0Vvzr7lt3OU09vwQwhkpOPPYv2Y/edit?usp=sharing"",""งบพรบ!AS16"")"),0)</f>
        <v>0</v>
      </c>
      <c r="N80" s="224">
        <f ca="1">IFERROR(__xludf.DUMMYFUNCTION("IMPORTRANGE(""https://docs.google.com/spreadsheets/d/1-uDff_7J0KD5mKrp0Vvzr7lt3OU09vwQwhkpOPPYv2Y/edit?usp=sharing"",""งบพรบ!AU16"")"),0)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IFERROR(__xludf.DUMMYFUNCTION("IMPORTRANGE(""https://docs.google.com/spreadsheets/d/1ItG2mGa2ceCfYo0BwxsXqNm01IGEUdYcSSLTEv9YCik/edit?usp=sharing"",""เบิกจ่ายกองทุน!BK16"")"),0)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IFERROR(__xludf.DUMMYFUNCTION("IMPORTRANGE(""https://docs.google.com/spreadsheets/d/1ItG2mGa2ceCfYo0BwxsXqNm01IGEUdYcSSLTEv9YCik/edit?usp=sharing"",""เบิกจ่ายกองทุน!BL16"")"),0)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IFERROR(__xludf.DUMMYFUNCTION("IMPORTRANGE(""https://docs.google.com/spreadsheets/d/1ItG2mGa2ceCfYo0BwxsXqNm01IGEUdYcSSLTEv9YCik/edit?usp=sharing"",""เบิกจ่ายกองทุน!BM16"")"),0)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IFERROR(__xludf.DUMMYFUNCTION("IMPORTRANGE(""https://docs.google.com/spreadsheets/d/1eHaY18a8A9IcSdp1K8H6x8fbOy06t2VsZHhMHf-1x7Y/edit?usp=sharing"",""แผน!H16"")"),0)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IFERROR(__xludf.DUMMYFUNCTION("IMPORTRANGE(""https://docs.google.com/spreadsheets/d/1eHaY18a8A9IcSdp1K8H6x8fbOy06t2VsZHhMHf-1x7Y/edit?usp=sharing"",""แผน!I16"")"),0)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IFERROR(__xludf.DUMMYFUNCTION("IMPORTRANGE(""https://docs.google.com/spreadsheets/d/1eHaY18a8A9IcSdp1K8H6x8fbOy06t2VsZHhMHf-1x7Y/edit?usp=sharing"",""แผน!F16"")"),0)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IFERROR(__xludf.DUMMYFUNCTION("IMPORTRANGE(""https://docs.google.com/spreadsheets/d/1eHaY18a8A9IcSdp1K8H6x8fbOy06t2VsZHhMHf-1x7Y/edit?usp=sharing"",""แผน!G16"")"),0)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IFERROR(__xludf.DUMMYFUNCTION("IMPORTRANGE(""https://docs.google.com/spreadsheets/d/1eHaY18a8A9IcSdp1K8H6x8fbOy06t2VsZHhMHf-1x7Y/edit?usp=sharing"",""แผน!D16"")"),0)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IFERROR(__xludf.DUMMYFUNCTION("IMPORTRANGE(""https://docs.google.com/spreadsheets/d/1eHaY18a8A9IcSdp1K8H6x8fbOy06t2VsZHhMHf-1x7Y/edit?usp=sharing"",""แผน!E16"")"),0)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IFERROR(__xludf.DUMMYFUNCTION("IMPORTRANGE(""https://docs.google.com/spreadsheets/d/1eHaY18a8A9IcSdp1K8H6x8fbOy06t2VsZHhMHf-1x7Y/edit?usp=sharing"",""แผน!J16"")"),0)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25500</v>
      </c>
      <c r="M94" s="547">
        <f ca="1">M95+M96</f>
        <v>25500</v>
      </c>
      <c r="N94" s="547">
        <f ca="1">N95+N96</f>
        <v>25500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64920</v>
      </c>
      <c r="R94" s="547">
        <f ca="1">R95+R96</f>
        <v>64920</v>
      </c>
      <c r="S94" s="547">
        <f ca="1">S95+S96</f>
        <v>34950</v>
      </c>
      <c r="T94" s="547">
        <f ca="1">IF(Q94&gt;0,S94*100/Q94,0)</f>
        <v>53.835489833641404</v>
      </c>
      <c r="U94" s="547">
        <f ca="1">IF(R94&gt;0,S94*100/R94,0)</f>
        <v>53.835489833641404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25500</v>
      </c>
      <c r="M96" s="224">
        <f ca="1">M99+M102</f>
        <v>25500</v>
      </c>
      <c r="N96" s="224">
        <f ca="1">N99+N102</f>
        <v>25500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64920</v>
      </c>
      <c r="R96" s="224">
        <f ca="1">R99+R102</f>
        <v>64920</v>
      </c>
      <c r="S96" s="224">
        <f ca="1">S99+S102</f>
        <v>34950</v>
      </c>
      <c r="T96" s="224">
        <f ca="1">IF(Q96&gt;0,S96*100/Q96,0)</f>
        <v>53.835489833641404</v>
      </c>
      <c r="U96" s="224">
        <f ca="1">IF(R96&gt;0,S96*100/R96,0)</f>
        <v>53.835489833641404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25500</v>
      </c>
      <c r="M97" s="224">
        <f ca="1">M98+M99</f>
        <v>25500</v>
      </c>
      <c r="N97" s="224">
        <f ca="1">N98+N99</f>
        <v>25500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64920</v>
      </c>
      <c r="R97" s="224">
        <f ca="1">R98+R99</f>
        <v>64920</v>
      </c>
      <c r="S97" s="224">
        <f ca="1">S98+S99</f>
        <v>34950</v>
      </c>
      <c r="T97" s="224">
        <f ca="1">IF(Q97&gt;0,S97*100/Q97,0)</f>
        <v>53.835489833641404</v>
      </c>
      <c r="U97" s="224">
        <f ca="1">IF(R97&gt;0,S97*100/R97,0)</f>
        <v>53.835489833641404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IFERROR(__xludf.DUMMYFUNCTION("IMPORTRANGE(""https://docs.google.com/spreadsheets/d/1-uDff_7J0KD5mKrp0Vvzr7lt3OU09vwQwhkpOPPYv2Y/edit?usp=sharing"",""งบพรบ!AW16"")"),25500)</f>
        <v>25500</v>
      </c>
      <c r="M99" s="224">
        <f ca="1">IFERROR(__xludf.DUMMYFUNCTION("IMPORTRANGE(""https://docs.google.com/spreadsheets/d/1-uDff_7J0KD5mKrp0Vvzr7lt3OU09vwQwhkpOPPYv2Y/edit?usp=sharing"",""งบพรบ!BB16"")"),25500)</f>
        <v>25500</v>
      </c>
      <c r="N99" s="224">
        <f ca="1">IFERROR(__xludf.DUMMYFUNCTION("IMPORTRANGE(""https://docs.google.com/spreadsheets/d/1-uDff_7J0KD5mKrp0Vvzr7lt3OU09vwQwhkpOPPYv2Y/edit?usp=sharing"",""งบพรบ!BD16"")"),25500)</f>
        <v>25500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IFERROR(__xludf.DUMMYFUNCTION("IMPORTRANGE(""https://docs.google.com/spreadsheets/d/1ItG2mGa2ceCfYo0BwxsXqNm01IGEUdYcSSLTEv9YCik/edit?usp=sharing"",""เบิกจ่ายกองทุน!AJ16"")"),64920)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IFERROR(__xludf.DUMMYFUNCTION("IMPORTRANGE(""https://docs.google.com/spreadsheets/d/1ItG2mGa2ceCfYo0BwxsXqNm01IGEUdYcSSLTEv9YCik/edit?usp=sharing"",""เบิกจ่ายกองทุน!AK16"")"),64920)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IFERROR(__xludf.DUMMYFUNCTION("IMPORTRANGE(""https://docs.google.com/spreadsheets/d/1ItG2mGa2ceCfYo0BwxsXqNm01IGEUdYcSSLTEv9YCik/edit?usp=sharing"",""เบิกจ่ายกองทุน!AL16"")"),34950)</f>
        <v>34950</v>
      </c>
      <c r="T99" s="224">
        <f ca="1">IF(Q99&gt;0,S99*100/Q99,0)</f>
        <v>53.835489833641404</v>
      </c>
      <c r="U99" s="224">
        <f ca="1">IF(R99&gt;0,S99*100/R99,0)</f>
        <v>53.835489833641404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IFERROR(__xludf.DUMMYFUNCTION("IMPORTRANGE(""https://docs.google.com/spreadsheets/d/1-uDff_7J0KD5mKrp0Vvzr7lt3OU09vwQwhkpOPPYv2Y/edit?usp=sharing"",""งบพรบ!AZ16"")"),0)</f>
        <v>0</v>
      </c>
      <c r="M102" s="224">
        <f ca="1">IFERROR(__xludf.DUMMYFUNCTION("IMPORTRANGE(""https://docs.google.com/spreadsheets/d/1-uDff_7J0KD5mKrp0Vvzr7lt3OU09vwQwhkpOPPYv2Y/edit?usp=sharing"",""งบพรบ!BC16"")"),0)</f>
        <v>0</v>
      </c>
      <c r="N102" s="224">
        <f ca="1">IFERROR(__xludf.DUMMYFUNCTION("IMPORTRANGE(""https://docs.google.com/spreadsheets/d/1-uDff_7J0KD5mKrp0Vvzr7lt3OU09vwQwhkpOPPYv2Y/edit?usp=sharing"",""งบพรบ!BE16"")"),0)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IFERROR(__xludf.DUMMYFUNCTION("IMPORTRANGE(""https://docs.google.com/spreadsheets/d/1eHaY18a8A9IcSdp1K8H6x8fbOy06t2VsZHhMHf-1x7Y/edit?usp=sharing"",""แผน!N16"")"),30)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IFERROR(__xludf.DUMMYFUNCTION("IMPORTRANGE(""https://docs.google.com/spreadsheets/d/1eHaY18a8A9IcSdp1K8H6x8fbOy06t2VsZHhMHf-1x7Y/edit?usp=sharing"",""แผน!O16"")"),10)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IFERROR(__xludf.DUMMYFUNCTION("IMPORTRANGE(""https://docs.google.com/spreadsheets/d/1eHaY18a8A9IcSdp1K8H6x8fbOy06t2VsZHhMHf-1x7Y/edit?usp=sharing"",""แผน!N16"")"),30)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IFERROR(__xludf.DUMMYFUNCTION("IMPORTRANGE(""https://docs.google.com/spreadsheets/d/1eHaY18a8A9IcSdp1K8H6x8fbOy06t2VsZHhMHf-1x7Y/edit?usp=sharing"",""แผน!O16"")"),10)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187250</v>
      </c>
      <c r="T117" s="547">
        <f ca="1">IF(Q117&gt;0,S117*100/Q117,0)</f>
        <v>89.439243408482994</v>
      </c>
      <c r="U117" s="547">
        <f ca="1">IF(R117&gt;0,S117*100/R117,0)</f>
        <v>89.439243408482994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187250</v>
      </c>
      <c r="T119" s="224">
        <f ca="1">IF(Q119&gt;0,S119*100/Q119,0)</f>
        <v>89.439243408482994</v>
      </c>
      <c r="U119" s="224">
        <f ca="1">IF(R119&gt;0,S119*100/R119,0)</f>
        <v>89.439243408482994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187250</v>
      </c>
      <c r="T120" s="224">
        <f ca="1">IF(Q120&gt;0,S120*100/Q120,0)</f>
        <v>89.439243408482994</v>
      </c>
      <c r="U120" s="224">
        <f ca="1">IF(R120&gt;0,S120*100/R120,0)</f>
        <v>89.439243408482994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IFERROR(__xludf.DUMMYFUNCTION("IMPORTRANGE(""https://docs.google.com/spreadsheets/d/1-uDff_7J0KD5mKrp0Vvzr7lt3OU09vwQwhkpOPPYv2Y/edit?usp=sharing"",""งบพรบ!BG16"")"),0)</f>
        <v>0</v>
      </c>
      <c r="M122" s="224">
        <f ca="1">IFERROR(__xludf.DUMMYFUNCTION("IMPORTRANGE(""https://docs.google.com/spreadsheets/d/1-uDff_7J0KD5mKrp0Vvzr7lt3OU09vwQwhkpOPPYv2Y/edit?usp=sharing"",""งบพรบ!BL16"")"),0)</f>
        <v>0</v>
      </c>
      <c r="N122" s="224">
        <f ca="1">IFERROR(__xludf.DUMMYFUNCTION("IMPORTRANGE(""https://docs.google.com/spreadsheets/d/1-uDff_7J0KD5mKrp0Vvzr7lt3OU09vwQwhkpOPPYv2Y/edit?usp=sharing"",""งบพรบ!BN16"")"),0)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IFERROR(__xludf.DUMMYFUNCTION("IMPORTRANGE(""https://docs.google.com/spreadsheets/d/1ItG2mGa2ceCfYo0BwxsXqNm01IGEUdYcSSLTEv9YCik/edit?usp=sharing"",""เบิกจ่ายกองทุน!U16"")"),209360)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IFERROR(__xludf.DUMMYFUNCTION("IMPORTRANGE(""https://docs.google.com/spreadsheets/d/1ItG2mGa2ceCfYo0BwxsXqNm01IGEUdYcSSLTEv9YCik/edit?usp=sharing"",""เบิกจ่ายกองทุน!V16"")"),209360)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IFERROR(__xludf.DUMMYFUNCTION("IMPORTRANGE(""https://docs.google.com/spreadsheets/d/1ItG2mGa2ceCfYo0BwxsXqNm01IGEUdYcSSLTEv9YCik/edit?usp=sharing"",""เบิกจ่ายกองทุน!W16"")"),187250)</f>
        <v>187250</v>
      </c>
      <c r="T122" s="224">
        <f ca="1">IF(Q122&gt;0,S122*100/Q122,0)</f>
        <v>89.439243408482994</v>
      </c>
      <c r="U122" s="224">
        <f ca="1">IF(R122&gt;0,S122*100/R122,0)</f>
        <v>89.439243408482994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IFERROR(__xludf.DUMMYFUNCTION("IMPORTRANGE(""https://docs.google.com/spreadsheets/d/1-uDff_7J0KD5mKrp0Vvzr7lt3OU09vwQwhkpOPPYv2Y/edit?usp=sharing"",""งบพรบ!BJ16"")"),0)</f>
        <v>0</v>
      </c>
      <c r="M125" s="224">
        <f ca="1">IFERROR(__xludf.DUMMYFUNCTION("IMPORTRANGE(""https://docs.google.com/spreadsheets/d/1-uDff_7J0KD5mKrp0Vvzr7lt3OU09vwQwhkpOPPYv2Y/edit?usp=sharing"",""งบพรบ!BM16"")"),0)</f>
        <v>0</v>
      </c>
      <c r="N125" s="224">
        <f ca="1">IFERROR(__xludf.DUMMYFUNCTION("IMPORTRANGE(""https://docs.google.com/spreadsheets/d/1-uDff_7J0KD5mKrp0Vvzr7lt3OU09vwQwhkpOPPYv2Y/edit?usp=sharing"",""งบพรบ!BO16"")"),0)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IFERROR(__xludf.DUMMYFUNCTION("IMPORTRANGE(""https://docs.google.com/spreadsheets/d/1ItG2mGa2ceCfYo0BwxsXqNm01IGEUdYcSSLTEv9YCik/edit?usp=sharing"",""เบิกจ่ายกองทุน!X16"")"),0)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IFERROR(__xludf.DUMMYFUNCTION("IMPORTRANGE(""https://docs.google.com/spreadsheets/d/1ItG2mGa2ceCfYo0BwxsXqNm01IGEUdYcSSLTEv9YCik/edit?usp=sharing"",""เบิกจ่ายกองทุน!Y16"")"),0)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IFERROR(__xludf.DUMMYFUNCTION("IMPORTRANGE(""https://docs.google.com/spreadsheets/d/1ItG2mGa2ceCfYo0BwxsXqNm01IGEUdYcSSLTEv9YCik/edit?usp=sharing"",""เบิกจ่ายกองทุน!Z16"")"),0)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IFERROR(__xludf.DUMMYFUNCTION("IMPORTRANGE(""https://docs.google.com/spreadsheets/d/1eHaY18a8A9IcSdp1K8H6x8fbOy06t2VsZHhMHf-1x7Y/edit?usp=sharing"",""แผน!FF16"")"),20)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IFERROR(__xludf.DUMMYFUNCTION("IMPORTRANGE(""https://docs.google.com/spreadsheets/d/1eHaY18a8A9IcSdp1K8H6x8fbOy06t2VsZHhMHf-1x7Y/edit?usp=sharing"",""แผน!FG16"")"),1)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IFERROR(__xludf.DUMMYFUNCTION("IMPORTRANGE(""https://docs.google.com/spreadsheets/d/1eHaY18a8A9IcSdp1K8H6x8fbOy06t2VsZHhMHf-1x7Y/edit?usp=sharing"",""แผน!FH16"")"),20)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IFERROR(__xludf.DUMMYFUNCTION("IMPORTRANGE(""https://docs.google.com/spreadsheets/d/1eHaY18a8A9IcSdp1K8H6x8fbOy06t2VsZHhMHf-1x7Y/edit?usp=sharing"",""แผน!FI16"")"),1)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1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137700</v>
      </c>
      <c r="M139" s="547">
        <f ca="1">M140+M141</f>
        <v>132700</v>
      </c>
      <c r="N139" s="547">
        <f ca="1">N140+N141</f>
        <v>120551</v>
      </c>
      <c r="O139" s="547">
        <f ca="1">IF(L139&gt;0,N139*100/L139,0)</f>
        <v>87.546114742193168</v>
      </c>
      <c r="P139" s="547">
        <f ca="1">IF(M139&gt;0,N139*100/M139,0)</f>
        <v>90.84476262245667</v>
      </c>
      <c r="Q139" s="547">
        <f ca="1">Q140+Q141</f>
        <v>174860</v>
      </c>
      <c r="R139" s="547">
        <f ca="1">R140+R141</f>
        <v>174860</v>
      </c>
      <c r="S139" s="547">
        <f ca="1">S140+S141</f>
        <v>22950</v>
      </c>
      <c r="T139" s="547">
        <f ca="1">IF(Q139&gt;0,S139*100/Q139,0)</f>
        <v>13.12478554271989</v>
      </c>
      <c r="U139" s="547">
        <f ca="1">IF(R139&gt;0,S139*100/R139,0)</f>
        <v>13.12478554271989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137700</v>
      </c>
      <c r="M141" s="224">
        <f ca="1">M144+M147</f>
        <v>132700</v>
      </c>
      <c r="N141" s="224">
        <f ca="1">N144+N147</f>
        <v>120551</v>
      </c>
      <c r="O141" s="224">
        <f ca="1">IF(L141&gt;0,N141*100/L141,0)</f>
        <v>87.546114742193168</v>
      </c>
      <c r="P141" s="224">
        <f ca="1">IF(M141&gt;0,N141*100/M141,0)</f>
        <v>90.84476262245667</v>
      </c>
      <c r="Q141" s="224">
        <f ca="1">Q144+Q147</f>
        <v>174860</v>
      </c>
      <c r="R141" s="224">
        <f ca="1">R144+R147</f>
        <v>174860</v>
      </c>
      <c r="S141" s="224">
        <f ca="1">S144+S147</f>
        <v>22950</v>
      </c>
      <c r="T141" s="224">
        <f ca="1">IF(Q141&gt;0,S141*100/Q141,0)</f>
        <v>13.12478554271989</v>
      </c>
      <c r="U141" s="224">
        <f ca="1">IF(R141&gt;0,S141*100/R141,0)</f>
        <v>13.12478554271989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137700</v>
      </c>
      <c r="M142" s="224">
        <f ca="1">M143+M144</f>
        <v>132700</v>
      </c>
      <c r="N142" s="224">
        <f ca="1">N143+N144</f>
        <v>120551</v>
      </c>
      <c r="O142" s="224">
        <f ca="1">IF(L142&gt;0,N142*100/L142,0)</f>
        <v>87.546114742193168</v>
      </c>
      <c r="P142" s="224">
        <f ca="1">IF(M142&gt;0,N142*100/M142,0)</f>
        <v>90.84476262245667</v>
      </c>
      <c r="Q142" s="224">
        <f ca="1">Q143+Q144</f>
        <v>44860</v>
      </c>
      <c r="R142" s="224">
        <f ca="1">R143+R144</f>
        <v>44860</v>
      </c>
      <c r="S142" s="224">
        <f ca="1">S143+S144</f>
        <v>22950</v>
      </c>
      <c r="T142" s="224">
        <f ca="1">IF(Q142&gt;0,S142*100/Q142,0)</f>
        <v>51.159161836825682</v>
      </c>
      <c r="U142" s="224">
        <f ca="1">IF(R142&gt;0,S142*100/R142,0)</f>
        <v>51.159161836825682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IFERROR(__xludf.DUMMYFUNCTION("IMPORTRANGE(""https://docs.google.com/spreadsheets/d/1-uDff_7J0KD5mKrp0Vvzr7lt3OU09vwQwhkpOPPYv2Y/edit?usp=sharing"",""งบพรบ!BQ16"")"),137700)</f>
        <v>137700</v>
      </c>
      <c r="M144" s="224">
        <f ca="1">IFERROR(__xludf.DUMMYFUNCTION("IMPORTRANGE(""https://docs.google.com/spreadsheets/d/1-uDff_7J0KD5mKrp0Vvzr7lt3OU09vwQwhkpOPPYv2Y/edit?usp=sharing"",""งบพรบ!BV16"")"),132700)</f>
        <v>132700</v>
      </c>
      <c r="N144" s="224">
        <f ca="1">IFERROR(__xludf.DUMMYFUNCTION("IMPORTRANGE(""https://docs.google.com/spreadsheets/d/1-uDff_7J0KD5mKrp0Vvzr7lt3OU09vwQwhkpOPPYv2Y/edit?usp=sharing"",""งบพรบ!BX16"")"),120551)</f>
        <v>120551</v>
      </c>
      <c r="O144" s="224">
        <f ca="1">IF(L144&gt;0,N144*100/L144,0)</f>
        <v>87.546114742193168</v>
      </c>
      <c r="P144" s="224">
        <f ca="1">IF(M144&gt;0,N144*100/M144,0)</f>
        <v>90.84476262245667</v>
      </c>
      <c r="Q144" s="224">
        <f ca="1">IFERROR(__xludf.DUMMYFUNCTION("IMPORTRANGE(""https://docs.google.com/spreadsheets/d/1ItG2mGa2ceCfYo0BwxsXqNm01IGEUdYcSSLTEv9YCik/edit?usp=sharing"",""เบิกจ่ายกองทุน!CF16"")"),44860)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IFERROR(__xludf.DUMMYFUNCTION("IMPORTRANGE(""https://docs.google.com/spreadsheets/d/1ItG2mGa2ceCfYo0BwxsXqNm01IGEUdYcSSLTEv9YCik/edit?usp=sharing"",""เบิกจ่ายกองทุน!CG16"")"),44860)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IFERROR(__xludf.DUMMYFUNCTION("IMPORTRANGE(""https://docs.google.com/spreadsheets/d/1ItG2mGa2ceCfYo0BwxsXqNm01IGEUdYcSSLTEv9YCik/edit?usp=sharing"",""เบิกจ่ายกองทุน!CH16"")"),22950)</f>
        <v>22950</v>
      </c>
      <c r="T144" s="224">
        <f ca="1">IF(Q144&gt;0,S144*100/Q144,0)</f>
        <v>51.159161836825682</v>
      </c>
      <c r="U144" s="224">
        <f ca="1">IF(R144&gt;0,S144*100/R144,0)</f>
        <v>51.159161836825682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130000</v>
      </c>
      <c r="R145" s="224">
        <f ca="1">R146+R147</f>
        <v>130000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IFERROR(__xludf.DUMMYFUNCTION("IMPORTRANGE(""https://docs.google.com/spreadsheets/d/1-uDff_7J0KD5mKrp0Vvzr7lt3OU09vwQwhkpOPPYv2Y/edit?usp=sharing"",""งบพรบ!BT16"")"),0)</f>
        <v>0</v>
      </c>
      <c r="M147" s="224">
        <f ca="1">IFERROR(__xludf.DUMMYFUNCTION("IMPORTRANGE(""https://docs.google.com/spreadsheets/d/1-uDff_7J0KD5mKrp0Vvzr7lt3OU09vwQwhkpOPPYv2Y/edit?usp=sharing"",""งบพรบ!BW16"")"),0)</f>
        <v>0</v>
      </c>
      <c r="N147" s="224">
        <f ca="1">IFERROR(__xludf.DUMMYFUNCTION("IMPORTRANGE(""https://docs.google.com/spreadsheets/d/1-uDff_7J0KD5mKrp0Vvzr7lt3OU09vwQwhkpOPPYv2Y/edit?usp=sharing"",""งบพรบ!BY16"")"),0)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IFERROR(__xludf.DUMMYFUNCTION("IMPORTRANGE(""https://docs.google.com/spreadsheets/d/1ItG2mGa2ceCfYo0BwxsXqNm01IGEUdYcSSLTEv9YCik/edit?usp=sharing"",""เบิกจ่ายกองทุน!CI16"")"),130000)</f>
        <v>130000</v>
      </c>
      <c r="R147" s="224">
        <f ca="1">IFERROR(__xludf.DUMMYFUNCTION("IMPORTRANGE(""https://docs.google.com/spreadsheets/d/1ItG2mGa2ceCfYo0BwxsXqNm01IGEUdYcSSLTEv9YCik/edit?usp=sharing"",""เบิกจ่ายกองทุน!CJ16"")"),130000)</f>
        <v>130000</v>
      </c>
      <c r="S147" s="224">
        <f ca="1">IFERROR(__xludf.DUMMYFUNCTION("IMPORTRANGE(""https://docs.google.com/spreadsheets/d/1ItG2mGa2ceCfYo0BwxsXqNm01IGEUdYcSSLTEv9YCik/edit?usp=sharing"",""เบิกจ่ายกองทุน!CK16"")"),0)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IFERROR(__xludf.DUMMYFUNCTION("IMPORTRANGE(""https://docs.google.com/spreadsheets/d/1eHaY18a8A9IcSdp1K8H6x8fbOy06t2VsZHhMHf-1x7Y/edit?usp=sharing"",""แผน!U16"")"),10)</f>
        <v>10</v>
      </c>
      <c r="J150" s="380">
        <v>10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IFERROR(__xludf.DUMMYFUNCTION("IMPORTRANGE(""https://docs.google.com/spreadsheets/d/1eHaY18a8A9IcSdp1K8H6x8fbOy06t2VsZHhMHf-1x7Y/edit?usp=sharing"",""แผน!V16"")"),1)</f>
        <v>1</v>
      </c>
      <c r="J151" s="380">
        <v>1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IFERROR(__xludf.DUMMYFUNCTION("IMPORTRANGE(""https://docs.google.com/spreadsheets/d/1eHaY18a8A9IcSdp1K8H6x8fbOy06t2VsZHhMHf-1x7Y/edit?usp=sharing"",""แผน!W16"")"),20)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IFERROR(__xludf.DUMMYFUNCTION("IMPORTRANGE(""https://docs.google.com/spreadsheets/d/1eHaY18a8A9IcSdp1K8H6x8fbOy06t2VsZHhMHf-1x7Y/edit?usp=sharing"",""แผน!X16"")"),2)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IFERROR(__xludf.DUMMYFUNCTION("IMPORTRANGE(""https://docs.google.com/spreadsheets/d/1eHaY18a8A9IcSdp1K8H6x8fbOy06t2VsZHhMHf-1x7Y/edit?usp=sharing"",""แผน!Y16"")"),1)</f>
        <v>1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3152</v>
      </c>
      <c r="N157" s="547">
        <f ca="1">N158+N159</f>
        <v>3152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3152</v>
      </c>
      <c r="N159" s="224">
        <f ca="1">N162+N165</f>
        <v>3152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3152</v>
      </c>
      <c r="N160" s="224">
        <f ca="1">N161+N162</f>
        <v>3152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IFERROR(__xludf.DUMMYFUNCTION("IMPORTRANGE(""https://docs.google.com/spreadsheets/d/1-uDff_7J0KD5mKrp0Vvzr7lt3OU09vwQwhkpOPPYv2Y/edit?usp=sharing"",""งบพรบ!CA16"")"),0)</f>
        <v>0</v>
      </c>
      <c r="M162" s="224">
        <f ca="1">IFERROR(__xludf.DUMMYFUNCTION("IMPORTRANGE(""https://docs.google.com/spreadsheets/d/1-uDff_7J0KD5mKrp0Vvzr7lt3OU09vwQwhkpOPPYv2Y/edit?usp=sharing"",""งบพรบ!CF16"")"),3152)</f>
        <v>3152</v>
      </c>
      <c r="N162" s="224">
        <f ca="1">IFERROR(__xludf.DUMMYFUNCTION("IMPORTRANGE(""https://docs.google.com/spreadsheets/d/1-uDff_7J0KD5mKrp0Vvzr7lt3OU09vwQwhkpOPPYv2Y/edit?usp=sharing"",""งบพรบ!CH16"")"),3152)</f>
        <v>3152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IFERROR(__xludf.DUMMYFUNCTION("IMPORTRANGE(""https://docs.google.com/spreadsheets/d/1ItG2mGa2ceCfYo0BwxsXqNm01IGEUdYcSSLTEv9YCik/edit?usp=sharing"",""เบิกจ่ายกองทุน!AM16"")"),0)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IFERROR(__xludf.DUMMYFUNCTION("IMPORTRANGE(""https://docs.google.com/spreadsheets/d/1ItG2mGa2ceCfYo0BwxsXqNm01IGEUdYcSSLTEv9YCik/edit?usp=sharing"",""เบิกจ่ายกองทุน!AO16"")"),0)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IFERROR(__xludf.DUMMYFUNCTION("IMPORTRANGE(""https://docs.google.com/spreadsheets/d/1-uDff_7J0KD5mKrp0Vvzr7lt3OU09vwQwhkpOPPYv2Y/edit?usp=sharing"",""งบพรบ!CD16"")"),0)</f>
        <v>0</v>
      </c>
      <c r="M165" s="224">
        <f ca="1">IFERROR(__xludf.DUMMYFUNCTION("IMPORTRANGE(""https://docs.google.com/spreadsheets/d/1-uDff_7J0KD5mKrp0Vvzr7lt3OU09vwQwhkpOPPYv2Y/edit?usp=sharing"",""งบพรบ!CG16"")"),0)</f>
        <v>0</v>
      </c>
      <c r="N165" s="224">
        <f ca="1">IFERROR(__xludf.DUMMYFUNCTION("IMPORTRANGE(""https://docs.google.com/spreadsheets/d/1-uDff_7J0KD5mKrp0Vvzr7lt3OU09vwQwhkpOPPYv2Y/edit?usp=sharing"",""งบพรบ!CI16"")"),0)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hidden="1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IFERROR(__xludf.DUMMYFUNCTION("IMPORTRANGE(""https://docs.google.com/spreadsheets/d/1eHaY18a8A9IcSdp1K8H6x8fbOy06t2VsZHhMHf-1x7Y/edit?usp=sharing"",""แผน!Z16"")"),0)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IFERROR(__xludf.DUMMYFUNCTION("IMPORTRANGE(""https://docs.google.com/spreadsheets/d/1eHaY18a8A9IcSdp1K8H6x8fbOy06t2VsZHhMHf-1x7Y/edit?usp=sharing"",""แผน!Z16"")"),0)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IFERROR(__xludf.DUMMYFUNCTION("IMPORTRANGE(""https://docs.google.com/spreadsheets/d/1eHaY18a8A9IcSdp1K8H6x8fbOy06t2VsZHhMHf-1x7Y/edit?usp=sharing"",""แผน!Z16"")"),0)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15</v>
      </c>
      <c r="J172" s="752">
        <f>J183+J184</f>
        <v>15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166020</v>
      </c>
      <c r="N173" s="547">
        <f ca="1">N174+N175</f>
        <v>166020</v>
      </c>
      <c r="O173" s="547">
        <f ca="1">IF(L173&gt;0,N173*100/L173,0)</f>
        <v>847.47320061255743</v>
      </c>
      <c r="P173" s="547">
        <f ca="1">IF(M173&gt;0,N173*100/M173,0)</f>
        <v>100</v>
      </c>
      <c r="Q173" s="547">
        <f ca="1">Q174+Q175</f>
        <v>21200</v>
      </c>
      <c r="R173" s="547">
        <f ca="1">R174+R175</f>
        <v>21200</v>
      </c>
      <c r="S173" s="547">
        <f ca="1">S174+S175</f>
        <v>17040</v>
      </c>
      <c r="T173" s="547">
        <f ca="1">IF(Q173&gt;0,S173*100/Q173,0)</f>
        <v>80.377358490566039</v>
      </c>
      <c r="U173" s="547">
        <f ca="1">IF(R173&gt;0,S173*100/R173,0)</f>
        <v>80.377358490566039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166020</v>
      </c>
      <c r="N175" s="224">
        <f ca="1">N178+N181</f>
        <v>166020</v>
      </c>
      <c r="O175" s="224">
        <f ca="1">IF(L175&gt;0,N175*100/L175,0)</f>
        <v>847.47320061255743</v>
      </c>
      <c r="P175" s="224">
        <f ca="1">IF(M175&gt;0,N175*100/M175,0)</f>
        <v>100</v>
      </c>
      <c r="Q175" s="224">
        <f ca="1">Q178+Q181</f>
        <v>21200</v>
      </c>
      <c r="R175" s="224">
        <f ca="1">R178+R181</f>
        <v>21200</v>
      </c>
      <c r="S175" s="224">
        <f ca="1">S178+S181</f>
        <v>17040</v>
      </c>
      <c r="T175" s="224">
        <f ca="1">IF(Q175&gt;0,S175*100/Q175,0)</f>
        <v>80.377358490566039</v>
      </c>
      <c r="U175" s="224">
        <f ca="1">IF(R175&gt;0,S175*100/R175,0)</f>
        <v>80.377358490566039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166020</v>
      </c>
      <c r="N176" s="224">
        <f ca="1">N177+N178</f>
        <v>166020</v>
      </c>
      <c r="O176" s="224">
        <f ca="1">IF(L176&gt;0,N176*100/L176,0)</f>
        <v>847.47320061255743</v>
      </c>
      <c r="P176" s="224">
        <f ca="1">IF(M176&gt;0,N176*100/M176,0)</f>
        <v>100</v>
      </c>
      <c r="Q176" s="224">
        <f ca="1">Q177+Q178</f>
        <v>21200</v>
      </c>
      <c r="R176" s="224">
        <f ca="1">R177+R178</f>
        <v>21200</v>
      </c>
      <c r="S176" s="224">
        <f ca="1">S177+S178</f>
        <v>17040</v>
      </c>
      <c r="T176" s="224">
        <f ca="1">IF(Q176&gt;0,S176*100/Q176,0)</f>
        <v>80.377358490566039</v>
      </c>
      <c r="U176" s="224">
        <f ca="1">IF(R176&gt;0,S176*100/R176,0)</f>
        <v>80.377358490566039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IFERROR(__xludf.DUMMYFUNCTION("IMPORTRANGE(""https://docs.google.com/spreadsheets/d/1-uDff_7J0KD5mKrp0Vvzr7lt3OU09vwQwhkpOPPYv2Y/edit?usp=sharing"",""งบพรบ!CK16"")"),19590)</f>
        <v>19590</v>
      </c>
      <c r="M178" s="224">
        <f ca="1">IFERROR(__xludf.DUMMYFUNCTION("IMPORTRANGE(""https://docs.google.com/spreadsheets/d/1-uDff_7J0KD5mKrp0Vvzr7lt3OU09vwQwhkpOPPYv2Y/edit?usp=sharing"",""งบพรบ!CP16"")"),166020)</f>
        <v>166020</v>
      </c>
      <c r="N178" s="224">
        <f ca="1">IFERROR(__xludf.DUMMYFUNCTION("IMPORTRANGE(""https://docs.google.com/spreadsheets/d/1-uDff_7J0KD5mKrp0Vvzr7lt3OU09vwQwhkpOPPYv2Y/edit?usp=sharing"",""งบพรบ!CR16"")"),166020)</f>
        <v>166020</v>
      </c>
      <c r="O178" s="224">
        <f ca="1">IF(L178&gt;0,N178*100/L178,0)</f>
        <v>847.47320061255743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IFERROR(__xludf.DUMMYFUNCTION("IMPORTRANGE(""https://docs.google.com/spreadsheets/d/1ItG2mGa2ceCfYo0BwxsXqNm01IGEUdYcSSLTEv9YCik/edit?usp=sharing"",""เบิกจ่ายกองทุน!DG16"")"),21200)</f>
        <v>21200</v>
      </c>
      <c r="R178" s="224">
        <f ca="1">IFERROR(__xludf.DUMMYFUNCTION("IMPORTRANGE(""https://docs.google.com/spreadsheets/d/1ItG2mGa2ceCfYo0BwxsXqNm01IGEUdYcSSLTEv9YCik/edit?usp=sharing"",""เบิกจ่ายกองทุน!DH16"")"),21200)</f>
        <v>21200</v>
      </c>
      <c r="S178" s="224">
        <f ca="1">IFERROR(__xludf.DUMMYFUNCTION("IMPORTRANGE(""https://docs.google.com/spreadsheets/d/1ItG2mGa2ceCfYo0BwxsXqNm01IGEUdYcSSLTEv9YCik/edit?usp=sharing"",""เบิกจ่ายกองทุน!DI16"")"),17040)</f>
        <v>17040</v>
      </c>
      <c r="T178" s="224">
        <f ca="1">IF(Q178&gt;0,S178*100/Q178,0)</f>
        <v>80.377358490566039</v>
      </c>
      <c r="U178" s="224">
        <f ca="1">IF(R178&gt;0,S178*100/R178,0)</f>
        <v>80.377358490566039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IFERROR(__xludf.DUMMYFUNCTION("IMPORTRANGE(""https://docs.google.com/spreadsheets/d/1-uDff_7J0KD5mKrp0Vvzr7lt3OU09vwQwhkpOPPYv2Y/edit?usp=sharing"",""งบพรบ!CN16"")"),0)</f>
        <v>0</v>
      </c>
      <c r="M181" s="224">
        <f ca="1">IFERROR(__xludf.DUMMYFUNCTION("IMPORTRANGE(""https://docs.google.com/spreadsheets/d/1-uDff_7J0KD5mKrp0Vvzr7lt3OU09vwQwhkpOPPYv2Y/edit?usp=sharing"",""งบพรบ!CQ16"")"),0)</f>
        <v>0</v>
      </c>
      <c r="N181" s="224">
        <f ca="1">IFERROR(__xludf.DUMMYFUNCTION("IMPORTRANGE(""https://docs.google.com/spreadsheets/d/1-uDff_7J0KD5mKrp0Vvzr7lt3OU09vwQwhkpOPPYv2Y/edit?usp=sharing"",""งบพรบ!CS16"")"),0)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IFERROR(__xludf.DUMMYFUNCTION("IMPORTRANGE(""https://docs.google.com/spreadsheets/d/1eHaY18a8A9IcSdp1K8H6x8fbOy06t2VsZHhMHf-1x7Y/edit?usp=sharing"",""แผน!AA16"")"),15)</f>
        <v>15</v>
      </c>
      <c r="J183" s="380">
        <v>15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120</v>
      </c>
      <c r="J185" s="752">
        <f>J230+J231</f>
        <v>120</v>
      </c>
      <c r="K185" s="751">
        <f ca="1">IF(I185&gt;0,J185*100/I185,0)</f>
        <v>100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624700</v>
      </c>
      <c r="M186" s="547">
        <f ca="1">M187+M188</f>
        <v>1236080</v>
      </c>
      <c r="N186" s="547">
        <f ca="1">N187+N188</f>
        <v>1207908.8500000001</v>
      </c>
      <c r="O186" s="547">
        <f ca="1">IF(L186&gt;0,N186*100/L186,0)</f>
        <v>193.35822794941575</v>
      </c>
      <c r="P186" s="547">
        <f ca="1">IF(M186&gt;0,N186*100/M186,0)</f>
        <v>97.720928257070753</v>
      </c>
      <c r="Q186" s="547">
        <f ca="1">Q187+Q188</f>
        <v>324600</v>
      </c>
      <c r="R186" s="547">
        <f ca="1">R187+R188</f>
        <v>324500</v>
      </c>
      <c r="S186" s="547">
        <f ca="1">S187+S188</f>
        <v>324500</v>
      </c>
      <c r="T186" s="547">
        <f ca="1">IF(Q186&gt;0,S186*100/Q186,0)</f>
        <v>99.969192852741841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624700</v>
      </c>
      <c r="M188" s="224">
        <f ca="1">M191+M194</f>
        <v>1236080</v>
      </c>
      <c r="N188" s="224">
        <f ca="1">N191+N194</f>
        <v>1207908.8500000001</v>
      </c>
      <c r="O188" s="224">
        <f ca="1">IF(L188&gt;0,N188*100/L188,0)</f>
        <v>193.35822794941575</v>
      </c>
      <c r="P188" s="224">
        <f ca="1">IF(M188&gt;0,N188*100/M188,0)</f>
        <v>97.720928257070753</v>
      </c>
      <c r="Q188" s="224">
        <f ca="1">Q191+Q194</f>
        <v>324600</v>
      </c>
      <c r="R188" s="224">
        <f ca="1">R191+R194</f>
        <v>324500</v>
      </c>
      <c r="S188" s="224">
        <f ca="1">S191+S194</f>
        <v>324500</v>
      </c>
      <c r="T188" s="224">
        <f ca="1">IF(Q188&gt;0,S188*100/Q188,0)</f>
        <v>99.969192852741841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624700</v>
      </c>
      <c r="M189" s="224">
        <f ca="1">M190+M191</f>
        <v>1236080</v>
      </c>
      <c r="N189" s="224">
        <f ca="1">N190+N191</f>
        <v>1207908.8500000001</v>
      </c>
      <c r="O189" s="224">
        <f ca="1">IF(L189&gt;0,N189*100/L189,0)</f>
        <v>193.35822794941575</v>
      </c>
      <c r="P189" s="224">
        <f ca="1">IF(M189&gt;0,N189*100/M189,0)</f>
        <v>97.720928257070753</v>
      </c>
      <c r="Q189" s="224">
        <f ca="1">Q190+Q191</f>
        <v>324600</v>
      </c>
      <c r="R189" s="224">
        <f ca="1">R190+R191</f>
        <v>324500</v>
      </c>
      <c r="S189" s="224">
        <f ca="1">S190+S191</f>
        <v>324500</v>
      </c>
      <c r="T189" s="224">
        <f ca="1">IF(Q189&gt;0,S189*100/Q189,0)</f>
        <v>99.969192852741841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IFERROR(__xludf.DUMMYFUNCTION("IMPORTRANGE(""https://docs.google.com/spreadsheets/d/1-uDff_7J0KD5mKrp0Vvzr7lt3OU09vwQwhkpOPPYv2Y/edit?usp=sharing"",""งบพรบ!CU16"")"),624700)</f>
        <v>624700</v>
      </c>
      <c r="M191" s="224">
        <f ca="1">IFERROR(__xludf.DUMMYFUNCTION("IMPORTRANGE(""https://docs.google.com/spreadsheets/d/1-uDff_7J0KD5mKrp0Vvzr7lt3OU09vwQwhkpOPPYv2Y/edit?usp=sharing"",""งบพรบ!CZ16"")"),1236080)</f>
        <v>1236080</v>
      </c>
      <c r="N191" s="224">
        <f ca="1">IFERROR(__xludf.DUMMYFUNCTION("IMPORTRANGE(""https://docs.google.com/spreadsheets/d/1-uDff_7J0KD5mKrp0Vvzr7lt3OU09vwQwhkpOPPYv2Y/edit?usp=sharing"",""งบพรบ!DB16"")"),1207908.85)</f>
        <v>1207908.8500000001</v>
      </c>
      <c r="O191" s="224">
        <f ca="1">IF(L191&gt;0,N191*100/L191,0)</f>
        <v>193.35822794941575</v>
      </c>
      <c r="P191" s="224">
        <f ca="1">IF(M191&gt;0,N191*100/M191,0)</f>
        <v>97.720928257070753</v>
      </c>
      <c r="Q191" s="224">
        <f ca="1">IFERROR(__xludf.DUMMYFUNCTION("IMPORTRANGE(""https://docs.google.com/spreadsheets/d/1ItG2mGa2ceCfYo0BwxsXqNm01IGEUdYcSSLTEv9YCik/edit?usp=sharing"",""เบิกจ่ายกองทุน!BQ16"")"),324600)</f>
        <v>324600</v>
      </c>
      <c r="R191" s="224">
        <f ca="1">IFERROR(__xludf.DUMMYFUNCTION("IMPORTRANGE(""https://docs.google.com/spreadsheets/d/1ItG2mGa2ceCfYo0BwxsXqNm01IGEUdYcSSLTEv9YCik/edit?usp=sharing"",""เบิกจ่ายกองทุน!BR16"")"),324500)</f>
        <v>324500</v>
      </c>
      <c r="S191" s="224">
        <f ca="1">IFERROR(__xludf.DUMMYFUNCTION("IMPORTRANGE(""https://docs.google.com/spreadsheets/d/1ItG2mGa2ceCfYo0BwxsXqNm01IGEUdYcSSLTEv9YCik/edit?usp=sharing"",""เบิกจ่ายกองทุน!BS16"")"),324500)</f>
        <v>324500</v>
      </c>
      <c r="T191" s="224">
        <f ca="1">IF(Q191&gt;0,S191*100/Q191,0)</f>
        <v>99.969192852741841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IFERROR(__xludf.DUMMYFUNCTION("IMPORTRANGE(""https://docs.google.com/spreadsheets/d/1-uDff_7J0KD5mKrp0Vvzr7lt3OU09vwQwhkpOPPYv2Y/edit?usp=sharing"",""งบพรบ!CX16"")"),0)</f>
        <v>0</v>
      </c>
      <c r="M194" s="224">
        <f ca="1">IFERROR(__xludf.DUMMYFUNCTION("IMPORTRANGE(""https://docs.google.com/spreadsheets/d/1-uDff_7J0KD5mKrp0Vvzr7lt3OU09vwQwhkpOPPYv2Y/edit?usp=sharing"",""งบพรบ!DA16"")"),0)</f>
        <v>0</v>
      </c>
      <c r="N194" s="224">
        <f ca="1">IFERROR(__xludf.DUMMYFUNCTION("IMPORTRANGE(""https://docs.google.com/spreadsheets/d/1-uDff_7J0KD5mKrp0Vvzr7lt3OU09vwQwhkpOPPYv2Y/edit?usp=sharing"",""งบพรบ!DC16"")"),0)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IFERROR(__xludf.DUMMYFUNCTION("IMPORTRANGE(""https://docs.google.com/spreadsheets/d/1ItG2mGa2ceCfYo0BwxsXqNm01IGEUdYcSSLTEv9YCik/edit?usp=sharing"",""เบิกจ่ายกองทุน!BT16"")"),0)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IFERROR(__xludf.DUMMYFUNCTION("IMPORTRANGE(""https://docs.google.com/spreadsheets/d/1ItG2mGa2ceCfYo0BwxsXqNm01IGEUdYcSSLTEv9YCik/edit?usp=sharing"",""เบิกจ่ายกองทุน!BU16"")"),0)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IFERROR(__xludf.DUMMYFUNCTION("IMPORTRANGE(""https://docs.google.com/spreadsheets/d/1ItG2mGa2ceCfYo0BwxsXqNm01IGEUdYcSSLTEv9YCik/edit?usp=sharing"",""เบิกจ่ายกองทุน!BV16"")"),0)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IFERROR(__xludf.DUMMYFUNCTION("IMPORTRANGE(""https://docs.google.com/spreadsheets/d/1eHaY18a8A9IcSdp1K8H6x8fbOy06t2VsZHhMHf-1x7Y/edit?usp=sharing"",""แผน!AB16"")"),6000)</f>
        <v>6000</v>
      </c>
      <c r="M196" s="45"/>
      <c r="N196" s="749">
        <v>4240</v>
      </c>
      <c r="O196" s="547">
        <f ca="1">IF(L196&gt;0,N196*100/L196,0)</f>
        <v>70.666666666666671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IFERROR(__xludf.DUMMYFUNCTION("IMPORTRANGE(""https://docs.google.com/spreadsheets/d/1eHaY18a8A9IcSdp1K8H6x8fbOy06t2VsZHhMHf-1x7Y/edit?usp=sharing"",""แผน!AE16"")"),4)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122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122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10000</v>
      </c>
      <c r="M203" s="45"/>
      <c r="N203" s="547">
        <f>N204+N205+N206+N207</f>
        <v>10000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27900</v>
      </c>
      <c r="T203" s="747">
        <f ca="1">IF(Q203&gt;0,S203*100/Q203,0)</f>
        <v>99.642857142857139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IFERROR(__xludf.DUMMYFUNCTION("IMPORTRANGE(""https://docs.google.com/spreadsheets/d/1eHaY18a8A9IcSdp1K8H6x8fbOy06t2VsZHhMHf-1x7Y/edit?usp=sharing"",""แผน!AG16"")"),2000)</f>
        <v>2000</v>
      </c>
      <c r="M204" s="45"/>
      <c r="N204" s="737">
        <v>2000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IFERROR(__xludf.DUMMYFUNCTION("IMPORTRANGE(""https://docs.google.com/spreadsheets/d/1eHaY18a8A9IcSdp1K8H6x8fbOy06t2VsZHhMHf-1x7Y/edit?usp=sharing"",""แผน!AH16"")"),0)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IFERROR(__xludf.DUMMYFUNCTION("IMPORTRANGE(""https://docs.google.com/spreadsheets/d/1eHaY18a8A9IcSdp1K8H6x8fbOy06t2VsZHhMHf-1x7Y/edit?usp=sharing"",""แผน!AI16"")"),0)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IFERROR(__xludf.DUMMYFUNCTION("IMPORTRANGE(""https://docs.google.com/spreadsheets/d/1eHaY18a8A9IcSdp1K8H6x8fbOy06t2VsZHhMHf-1x7Y/edit?usp=sharing"",""แผน!LV16"")"),28000)</f>
        <v>28000</v>
      </c>
      <c r="R206" s="45"/>
      <c r="S206" s="737">
        <v>27900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IFERROR(__xludf.DUMMYFUNCTION("IMPORTRANGE(""https://docs.google.com/spreadsheets/d/1eHaY18a8A9IcSdp1K8H6x8fbOy06t2VsZHhMHf-1x7Y/edit?usp=sharing"",""แผน!AJ16"")"),8000)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IFERROR(__xludf.DUMMYFUNCTION("IMPORTRANGE(""https://docs.google.com/spreadsheets/d/1eHaY18a8A9IcSdp1K8H6x8fbOy06t2VsZHhMHf-1x7Y/edit?usp=sharing"",""แผน!AK16"")"),2)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IFERROR(__xludf.DUMMYFUNCTION("IMPORTRANGE(""https://docs.google.com/spreadsheets/d/1eHaY18a8A9IcSdp1K8H6x8fbOy06t2VsZHhMHf-1x7Y/edit?usp=sharing"",""แผน!JX16"")"),2)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IFERROR(__xludf.DUMMYFUNCTION("IMPORTRANGE(""https://docs.google.com/spreadsheets/d/1eHaY18a8A9IcSdp1K8H6x8fbOy06t2VsZHhMHf-1x7Y/edit?usp=sharing"",""แผน!JY16"")"),0)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1</v>
      </c>
      <c r="J213" s="302">
        <f>J220</f>
        <v>1</v>
      </c>
      <c r="K213" s="303">
        <f ca="1">IF(I213&gt;0,J213*100/I213,0)</f>
        <v>100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x14ac:dyDescent="0.3">
      <c r="A214" s="128"/>
      <c r="B214" s="40"/>
      <c r="C214" s="374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6000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49700</v>
      </c>
      <c r="R214" s="45"/>
      <c r="S214" s="547">
        <f>S215+S216+S217</f>
        <v>49700</v>
      </c>
      <c r="T214" s="547">
        <f ca="1">IF(Q214&gt;0,S214*100/Q214,0)</f>
        <v>100</v>
      </c>
      <c r="U214" s="547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IFERROR(__xludf.DUMMYFUNCTION("IMPORTRANGE(""https://docs.google.com/spreadsheets/d/1eHaY18a8A9IcSdp1K8H6x8fbOy06t2VsZHhMHf-1x7Y/edit?usp=sharing"",""แผน!AM16"")"),1000)</f>
        <v>1000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IFERROR(__xludf.DUMMYFUNCTION("IMPORTRANGE(""https://docs.google.com/spreadsheets/d/1eHaY18a8A9IcSdp1K8H6x8fbOy06t2VsZHhMHf-1x7Y/edit?usp=sharing"",""แผน!AN16"")"),5000)</f>
        <v>5000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IFERROR(__xludf.DUMMYFUNCTION("IMPORTRANGE(""https://docs.google.com/spreadsheets/d/1eHaY18a8A9IcSdp1K8H6x8fbOy06t2VsZHhMHf-1x7Y/edit?usp=sharing"",""แผน!AO16"")"),0)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IFERROR(__xludf.DUMMYFUNCTION("IMPORTRANGE(""https://docs.google.com/spreadsheets/d/1eHaY18a8A9IcSdp1K8H6x8fbOy06t2VsZHhMHf-1x7Y/edit?usp=sharing"",""แผน!LY16"")"),49700)</f>
        <v>49700</v>
      </c>
      <c r="R217" s="45"/>
      <c r="S217" s="737">
        <v>49700</v>
      </c>
      <c r="T217" s="136"/>
      <c r="U217" s="45"/>
    </row>
    <row r="218" spans="1:21" ht="19.5" x14ac:dyDescent="0.3">
      <c r="A218" s="138"/>
      <c r="B218" s="139"/>
      <c r="C218" s="374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IFERROR(__xludf.DUMMYFUNCTION("IMPORTRANGE(""https://docs.google.com/spreadsheets/d/1eHaY18a8A9IcSdp1K8H6x8fbOy06t2VsZHhMHf-1x7Y/edit?usp=sharing"",""แผน!AP16"")"),1)</f>
        <v>1</v>
      </c>
      <c r="J219" s="380">
        <v>1</v>
      </c>
      <c r="K219" s="224">
        <f ca="1">IF(I219&gt;0,J219*100/I219,0)</f>
        <v>100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IFERROR(__xludf.DUMMYFUNCTION("IMPORTRANGE(""https://docs.google.com/spreadsheets/d/1eHaY18a8A9IcSdp1K8H6x8fbOy06t2VsZHhMHf-1x7Y/edit?usp=sharing"",""แผน!AP16"")"),1)</f>
        <v>1</v>
      </c>
      <c r="J220" s="380">
        <v>1</v>
      </c>
      <c r="K220" s="224">
        <f ca="1">IF(I220&gt;0,J220*100/I220,0)</f>
        <v>100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16000</v>
      </c>
      <c r="J221" s="302">
        <f>J229</f>
        <v>16000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IFERROR(__xludf.DUMMYFUNCTION("IMPORTRANGE(""https://docs.google.com/spreadsheets/d/1eHaY18a8A9IcSdp1K8H6x8fbOy06t2VsZHhMHf-1x7Y/edit?usp=sharing"",""แผน!AR16"")"),2500)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IFERROR(__xludf.DUMMYFUNCTION("IMPORTRANGE(""https://docs.google.com/spreadsheets/d/1eHaY18a8A9IcSdp1K8H6x8fbOy06t2VsZHhMHf-1x7Y/edit?usp=sharing"",""แผน!AS16"")"),2000)</f>
        <v>2000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IFERROR(__xludf.DUMMYFUNCTION("IMPORTRANGE(""https://docs.google.com/spreadsheets/d/1eHaY18a8A9IcSdp1K8H6x8fbOy06t2VsZHhMHf-1x7Y/edit?usp=sharing"",""แผน!AT16"")"),0)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IFERROR(__xludf.DUMMYFUNCTION("IMPORTRANGE(""https://docs.google.com/spreadsheets/d/1eHaY18a8A9IcSdp1K8H6x8fbOy06t2VsZHhMHf-1x7Y/edit?usp=sharing"",""แผน!AV16"")"),16000)</f>
        <v>16000</v>
      </c>
      <c r="J228" s="380">
        <v>16000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IFERROR(__xludf.DUMMYFUNCTION("IMPORTRANGE(""https://docs.google.com/spreadsheets/d/1eHaY18a8A9IcSdp1K8H6x8fbOy06t2VsZHhMHf-1x7Y/edit?usp=sharing"",""แผน!AV16"")"),16000)</f>
        <v>16000</v>
      </c>
      <c r="J229" s="380">
        <v>16000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IFERROR(__xludf.DUMMYFUNCTION("IMPORTRANGE(""https://docs.google.com/spreadsheets/d/1eHaY18a8A9IcSdp1K8H6x8fbOy06t2VsZHhMHf-1x7Y/edit?usp=sharing"",""แผน!AU16"")"),0)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7"/>
      <c r="B231" s="856"/>
      <c r="C231" s="742" t="s">
        <v>105</v>
      </c>
      <c r="D231" s="855"/>
      <c r="E231" s="855"/>
      <c r="F231" s="855"/>
      <c r="G231" s="854"/>
      <c r="H231" s="741" t="s">
        <v>35</v>
      </c>
      <c r="I231" s="740">
        <f ca="1">I242+I253</f>
        <v>120</v>
      </c>
      <c r="J231" s="740">
        <f>J242+J253</f>
        <v>120</v>
      </c>
      <c r="K231" s="739">
        <f ca="1">IF(I231&gt;0,J231*100/I231,0)</f>
        <v>100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507200</v>
      </c>
      <c r="M232" s="45"/>
      <c r="N232" s="744">
        <f>N243+N254</f>
        <v>187836.7</v>
      </c>
      <c r="O232" s="45"/>
      <c r="P232" s="45"/>
      <c r="Q232" s="745">
        <f ca="1">Q243+Q254</f>
        <v>246900</v>
      </c>
      <c r="R232" s="45"/>
      <c r="S232" s="744">
        <f>S243+S254</f>
        <v>246900</v>
      </c>
      <c r="T232" s="45"/>
      <c r="U232" s="45"/>
    </row>
    <row r="233" spans="1:21" ht="18.75" hidden="1" x14ac:dyDescent="0.25">
      <c r="A233" s="711"/>
      <c r="B233" s="852"/>
      <c r="C233" s="710"/>
      <c r="D233" s="410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342200</v>
      </c>
      <c r="M233" s="45"/>
      <c r="N233" s="83">
        <f>N244+N255</f>
        <v>26450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3"/>
      <c r="B234" s="852"/>
      <c r="C234" s="852"/>
      <c r="D234" s="410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10000</v>
      </c>
      <c r="M234" s="45"/>
      <c r="N234" s="83">
        <f>N245+N256</f>
        <v>161386.70000000001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3"/>
      <c r="B235" s="852"/>
      <c r="C235" s="852"/>
      <c r="D235" s="410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0</v>
      </c>
      <c r="M235" s="45"/>
      <c r="N235" s="83">
        <f>N246+N257</f>
        <v>0</v>
      </c>
      <c r="O235" s="45"/>
      <c r="P235" s="45"/>
      <c r="Q235" s="546">
        <f ca="1">Q246+Q257</f>
        <v>246900</v>
      </c>
      <c r="R235" s="45"/>
      <c r="S235" s="83">
        <f>S246+S257</f>
        <v>246900</v>
      </c>
      <c r="T235" s="45"/>
      <c r="U235" s="45"/>
    </row>
    <row r="236" spans="1:21" ht="18.75" hidden="1" x14ac:dyDescent="0.25">
      <c r="A236" s="853"/>
      <c r="B236" s="852"/>
      <c r="C236" s="852"/>
      <c r="D236" s="410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155000</v>
      </c>
      <c r="M236" s="45"/>
      <c r="N236" s="83">
        <f>N247+N258</f>
        <v>0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49"/>
      <c r="B237" s="848"/>
      <c r="C237" s="736" t="s">
        <v>18</v>
      </c>
      <c r="D237" s="591" t="s">
        <v>38</v>
      </c>
      <c r="E237" s="851"/>
      <c r="F237" s="851"/>
      <c r="G237" s="850"/>
      <c r="H237" s="846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49"/>
      <c r="B238" s="848"/>
      <c r="C238" s="848"/>
      <c r="D238" s="179" t="s">
        <v>108</v>
      </c>
      <c r="E238" s="847"/>
      <c r="F238" s="847"/>
      <c r="G238" s="846"/>
      <c r="H238" s="733" t="s">
        <v>35</v>
      </c>
      <c r="I238" s="485">
        <f ca="1">I249+I260</f>
        <v>120</v>
      </c>
      <c r="J238" s="485">
        <f>J249+J260</f>
        <v>120</v>
      </c>
      <c r="K238" s="83">
        <f ca="1">IF(I238&gt;0,J238*100/I238,0)</f>
        <v>100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49"/>
      <c r="B239" s="848"/>
      <c r="C239" s="848"/>
      <c r="D239" s="735" t="s">
        <v>43</v>
      </c>
      <c r="E239" s="847"/>
      <c r="F239" s="847"/>
      <c r="G239" s="846"/>
      <c r="H239" s="846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49"/>
      <c r="B240" s="848"/>
      <c r="C240" s="848"/>
      <c r="D240" s="848"/>
      <c r="E240" s="734" t="s">
        <v>109</v>
      </c>
      <c r="F240" s="847"/>
      <c r="G240" s="846"/>
      <c r="H240" s="733" t="s">
        <v>35</v>
      </c>
      <c r="I240" s="485">
        <f ca="1">I251+I262</f>
        <v>120</v>
      </c>
      <c r="J240" s="485">
        <f>J251+J262</f>
        <v>120</v>
      </c>
      <c r="K240" s="83">
        <f ca="1">IF(I240&gt;0,J240*100/I240,0)</f>
        <v>100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49"/>
      <c r="B241" s="848"/>
      <c r="C241" s="848"/>
      <c r="D241" s="848"/>
      <c r="E241" s="734" t="s">
        <v>110</v>
      </c>
      <c r="F241" s="847"/>
      <c r="G241" s="846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5"/>
      <c r="B242" s="844"/>
      <c r="C242" s="843" t="s">
        <v>322</v>
      </c>
      <c r="D242" s="842"/>
      <c r="E242" s="842"/>
      <c r="F242" s="842"/>
      <c r="G242" s="841"/>
      <c r="H242" s="840" t="s">
        <v>35</v>
      </c>
      <c r="I242" s="839">
        <f ca="1">I249</f>
        <v>120</v>
      </c>
      <c r="J242" s="839">
        <f>J249</f>
        <v>120</v>
      </c>
      <c r="K242" s="838">
        <f ca="1">IF(I242&gt;0,J242*100/I242,0)</f>
        <v>100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507200</v>
      </c>
      <c r="M243" s="45"/>
      <c r="N243" s="547">
        <f>N244+N245+N246+N247</f>
        <v>187836.7</v>
      </c>
      <c r="O243" s="547">
        <f ca="1">IF(L243&gt;0,N243*100/L243,0)</f>
        <v>37.034049684542587</v>
      </c>
      <c r="P243" s="547">
        <f>IF(M243&gt;0,N243*100/M243,0)</f>
        <v>0</v>
      </c>
      <c r="Q243" s="548">
        <f ca="1">Q244+Q245+Q246+Q247</f>
        <v>246900</v>
      </c>
      <c r="R243" s="46"/>
      <c r="S243" s="547">
        <f>S244+S245+S246+S247</f>
        <v>246900</v>
      </c>
      <c r="T243" s="547">
        <f ca="1">IF(Q243&gt;0,S243*100/Q243,0)</f>
        <v>100</v>
      </c>
      <c r="U243" s="547">
        <f>IF(R243&gt;0,S243*100/R243,0)</f>
        <v>0</v>
      </c>
    </row>
    <row r="244" spans="1:21" ht="18.75" x14ac:dyDescent="0.25">
      <c r="A244" s="401"/>
      <c r="B244" s="402"/>
      <c r="C244" s="411"/>
      <c r="D244" s="410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IFERROR(__xludf.DUMMYFUNCTION("IMPORTRANGE(""https://docs.google.com/spreadsheets/d/1eHaY18a8A9IcSdp1K8H6x8fbOy06t2VsZHhMHf-1x7Y/edit?usp=sharing"",""แผน!AX16"")"),342200)</f>
        <v>342200</v>
      </c>
      <c r="M244" s="45"/>
      <c r="N244" s="737">
        <v>26450</v>
      </c>
      <c r="O244" s="45"/>
      <c r="P244" s="45"/>
      <c r="Q244" s="545">
        <v>0</v>
      </c>
      <c r="R244" s="46"/>
      <c r="S244" s="224">
        <v>0</v>
      </c>
      <c r="T244" s="152"/>
      <c r="U244" s="46"/>
    </row>
    <row r="245" spans="1:21" ht="18.75" x14ac:dyDescent="0.25">
      <c r="A245" s="658"/>
      <c r="B245" s="402"/>
      <c r="C245" s="402"/>
      <c r="D245" s="410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IFERROR(__xludf.DUMMYFUNCTION("IMPORTRANGE(""https://docs.google.com/spreadsheets/d/1eHaY18a8A9IcSdp1K8H6x8fbOy06t2VsZHhMHf-1x7Y/edit?usp=sharing"",""แผน!AY16"")"),10000)</f>
        <v>10000</v>
      </c>
      <c r="M245" s="45"/>
      <c r="N245" s="737">
        <v>161386.70000000001</v>
      </c>
      <c r="O245" s="45"/>
      <c r="P245" s="45"/>
      <c r="Q245" s="545">
        <v>0</v>
      </c>
      <c r="R245" s="46"/>
      <c r="S245" s="224">
        <v>0</v>
      </c>
      <c r="T245" s="152"/>
      <c r="U245" s="46"/>
    </row>
    <row r="246" spans="1:21" ht="18.75" x14ac:dyDescent="0.25">
      <c r="A246" s="658"/>
      <c r="B246" s="402"/>
      <c r="C246" s="402"/>
      <c r="D246" s="410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IFERROR(__xludf.DUMMYFUNCTION("IMPORTRANGE(""https://docs.google.com/spreadsheets/d/1eHaY18a8A9IcSdp1K8H6x8fbOy06t2VsZHhMHf-1x7Y/edit?usp=sharing"",""แผน!AZ16"")"),0)</f>
        <v>0</v>
      </c>
      <c r="M246" s="45"/>
      <c r="N246" s="737">
        <v>0</v>
      </c>
      <c r="O246" s="45"/>
      <c r="P246" s="45"/>
      <c r="Q246" s="545">
        <f ca="1">IFERROR(__xludf.DUMMYFUNCTION("IMPORTRANGE(""https://docs.google.com/spreadsheets/d/1eHaY18a8A9IcSdp1K8H6x8fbOy06t2VsZHhMHf-1x7Y/edit?usp=sharing"",""แผน!MD16"")"),246900)</f>
        <v>246900</v>
      </c>
      <c r="R246" s="46"/>
      <c r="S246" s="737">
        <v>246900</v>
      </c>
      <c r="T246" s="152"/>
      <c r="U246" s="46"/>
    </row>
    <row r="247" spans="1:21" ht="18.75" x14ac:dyDescent="0.25">
      <c r="A247" s="658"/>
      <c r="B247" s="402"/>
      <c r="C247" s="402"/>
      <c r="D247" s="410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IFERROR(__xludf.DUMMYFUNCTION("IMPORTRANGE(""https://docs.google.com/spreadsheets/d/1eHaY18a8A9IcSdp1K8H6x8fbOy06t2VsZHhMHf-1x7Y/edit?usp=sharing"",""แผน!BA16"")"),155000)</f>
        <v>155000</v>
      </c>
      <c r="M247" s="45"/>
      <c r="N247" s="737">
        <v>0</v>
      </c>
      <c r="O247" s="45"/>
      <c r="P247" s="45"/>
      <c r="Q247" s="46">
        <v>0</v>
      </c>
      <c r="R247" s="46"/>
      <c r="S247" s="46">
        <v>0</v>
      </c>
      <c r="T247" s="46"/>
      <c r="U247" s="46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6" t="s">
        <v>35</v>
      </c>
      <c r="I249" s="559">
        <f ca="1">IFERROR(__xludf.DUMMYFUNCTION("IMPORTRANGE(""https://docs.google.com/spreadsheets/d/1eHaY18a8A9IcSdp1K8H6x8fbOy06t2VsZHhMHf-1x7Y/edit?usp=sharing"",""แผน!BG16"")"),120)</f>
        <v>120</v>
      </c>
      <c r="J249" s="555">
        <v>120</v>
      </c>
      <c r="K249" s="558">
        <f ca="1">IF(I249&gt;0,J249*100/I249,0)</f>
        <v>100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7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6" t="s">
        <v>35</v>
      </c>
      <c r="I251" s="559">
        <f ca="1">IFERROR(__xludf.DUMMYFUNCTION("IMPORTRANGE(""https://docs.google.com/spreadsheets/d/1eHaY18a8A9IcSdp1K8H6x8fbOy06t2VsZHhMHf-1x7Y/edit?usp=sharing"",""แผน!KN16"")"),120)</f>
        <v>120</v>
      </c>
      <c r="J251" s="555">
        <v>120</v>
      </c>
      <c r="K251" s="558">
        <f ca="1">IF(I251&gt;0,J251*100/I251,0)</f>
        <v>100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6" t="s">
        <v>61</v>
      </c>
      <c r="I252" s="559">
        <f ca="1">IFERROR(__xludf.DUMMYFUNCTION("IMPORTRANGE(""https://docs.google.com/spreadsheets/d/1eHaY18a8A9IcSdp1K8H6x8fbOy06t2VsZHhMHf-1x7Y/edit?usp=sharing"",""แผน!KO16"")"),1)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6">
        <f>Q255+Q256+Q257+Q258</f>
        <v>0</v>
      </c>
      <c r="R254" s="46"/>
      <c r="S254" s="46">
        <f>S255+S256+S257+S258</f>
        <v>0</v>
      </c>
      <c r="T254" s="46">
        <f>IF(Q254&gt;0,S254*100/Q254,0)</f>
        <v>0</v>
      </c>
      <c r="U254" s="46">
        <f>IF(R254&gt;0,S254*100/R254,0)</f>
        <v>0</v>
      </c>
    </row>
    <row r="255" spans="1:21" ht="18.75" hidden="1" x14ac:dyDescent="0.25">
      <c r="A255" s="128"/>
      <c r="B255" s="158"/>
      <c r="C255" s="40"/>
      <c r="D255" s="410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IFERROR(__xludf.DUMMYFUNCTION("IMPORTRANGE(""https://docs.google.com/spreadsheets/d/1eHaY18a8A9IcSdp1K8H6x8fbOy06t2VsZHhMHf-1x7Y/edit?usp=sharing"",""แผน!BB16"")"),0)</f>
        <v>0</v>
      </c>
      <c r="M255" s="45"/>
      <c r="N255" s="737">
        <v>0</v>
      </c>
      <c r="O255" s="45"/>
      <c r="P255" s="45"/>
      <c r="Q255" s="46">
        <v>0</v>
      </c>
      <c r="R255" s="46"/>
      <c r="S255" s="46">
        <v>0</v>
      </c>
      <c r="T255" s="46"/>
      <c r="U255" s="46"/>
    </row>
    <row r="256" spans="1:21" ht="18.75" hidden="1" x14ac:dyDescent="0.25">
      <c r="A256" s="208"/>
      <c r="B256" s="158"/>
      <c r="C256" s="158"/>
      <c r="D256" s="410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IFERROR(__xludf.DUMMYFUNCTION("IMPORTRANGE(""https://docs.google.com/spreadsheets/d/1eHaY18a8A9IcSdp1K8H6x8fbOy06t2VsZHhMHf-1x7Y/edit?usp=sharing"",""แผน!BC16"")"),0)</f>
        <v>0</v>
      </c>
      <c r="M256" s="45"/>
      <c r="N256" s="737">
        <v>0</v>
      </c>
      <c r="O256" s="45"/>
      <c r="P256" s="45"/>
      <c r="Q256" s="46">
        <v>0</v>
      </c>
      <c r="R256" s="46"/>
      <c r="S256" s="46">
        <v>0</v>
      </c>
      <c r="T256" s="46"/>
      <c r="U256" s="46"/>
    </row>
    <row r="257" spans="1:21" ht="18.75" hidden="1" x14ac:dyDescent="0.25">
      <c r="A257" s="208"/>
      <c r="B257" s="158"/>
      <c r="C257" s="158"/>
      <c r="D257" s="410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IFERROR(__xludf.DUMMYFUNCTION("IMPORTRANGE(""https://docs.google.com/spreadsheets/d/1eHaY18a8A9IcSdp1K8H6x8fbOy06t2VsZHhMHf-1x7Y/edit?usp=sharing"",""แผน!BD16"")"),0)</f>
        <v>0</v>
      </c>
      <c r="M257" s="45"/>
      <c r="N257" s="737">
        <v>0</v>
      </c>
      <c r="O257" s="45"/>
      <c r="P257" s="45"/>
      <c r="Q257" s="46">
        <v>0</v>
      </c>
      <c r="R257" s="46"/>
      <c r="S257" s="46">
        <v>0</v>
      </c>
      <c r="T257" s="46"/>
      <c r="U257" s="46"/>
    </row>
    <row r="258" spans="1:21" ht="18.75" hidden="1" x14ac:dyDescent="0.25">
      <c r="A258" s="208"/>
      <c r="B258" s="158"/>
      <c r="C258" s="158"/>
      <c r="D258" s="410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IFERROR(__xludf.DUMMYFUNCTION("IMPORTRANGE(""https://docs.google.com/spreadsheets/d/1eHaY18a8A9IcSdp1K8H6x8fbOy06t2VsZHhMHf-1x7Y/edit?usp=sharing"",""แผน!BE16"")"),0)</f>
        <v>0</v>
      </c>
      <c r="M258" s="45"/>
      <c r="N258" s="737">
        <v>0</v>
      </c>
      <c r="O258" s="45"/>
      <c r="P258" s="45"/>
      <c r="Q258" s="46">
        <v>0</v>
      </c>
      <c r="R258" s="46"/>
      <c r="S258" s="46">
        <v>0</v>
      </c>
      <c r="T258" s="46"/>
      <c r="U258" s="46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IFERROR(__xludf.DUMMYFUNCTION("IMPORTRANGE(""https://docs.google.com/spreadsheets/d/1eHaY18a8A9IcSdp1K8H6x8fbOy06t2VsZHhMHf-1x7Y/edit?usp=sharing"",""แผน!BH16"")"),0)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21700</v>
      </c>
      <c r="N266" s="715">
        <f ca="1">N267+N268</f>
        <v>19860</v>
      </c>
      <c r="O266" s="715">
        <f ca="1">IF(L266&gt;0,N266*100/L266,0)</f>
        <v>397.2</v>
      </c>
      <c r="P266" s="715">
        <f ca="1">IF(M266&gt;0,N266*100/M266,0)</f>
        <v>91.52073732718894</v>
      </c>
      <c r="Q266" s="715">
        <f ca="1">Q267+Q268</f>
        <v>53440</v>
      </c>
      <c r="R266" s="715">
        <f ca="1">R267+R268</f>
        <v>53440</v>
      </c>
      <c r="S266" s="715">
        <f ca="1">S267+S268</f>
        <v>46560</v>
      </c>
      <c r="T266" s="715">
        <f ca="1">IF(Q266&gt;0,S266*100/Q266,0)</f>
        <v>87.125748502994014</v>
      </c>
      <c r="U266" s="715">
        <f ca="1">IF(R266&gt;0,S266*100/R266,0)</f>
        <v>87.125748502994014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21700</v>
      </c>
      <c r="N268" s="558">
        <f ca="1">N271+N274</f>
        <v>19860</v>
      </c>
      <c r="O268" s="558">
        <f ca="1">IF(L268&gt;0,N268*100/L268,0)</f>
        <v>397.2</v>
      </c>
      <c r="P268" s="558">
        <f ca="1">IF(M268&gt;0,N268*100/M268,0)</f>
        <v>91.52073732718894</v>
      </c>
      <c r="Q268" s="558">
        <f ca="1">Q271+Q274</f>
        <v>53440</v>
      </c>
      <c r="R268" s="558">
        <f ca="1">R271+R274</f>
        <v>53440</v>
      </c>
      <c r="S268" s="558">
        <f ca="1">S271+S274</f>
        <v>46560</v>
      </c>
      <c r="T268" s="558">
        <f ca="1">IF(Q268&gt;0,S268*100/Q268,0)</f>
        <v>87.125748502994014</v>
      </c>
      <c r="U268" s="558">
        <f ca="1">IF(R268&gt;0,S268*100/R268,0)</f>
        <v>87.125748502994014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21700</v>
      </c>
      <c r="N269" s="558">
        <f ca="1">N270+N271</f>
        <v>19860</v>
      </c>
      <c r="O269" s="558">
        <f ca="1">IF(L269&gt;0,N269*100/L269,0)</f>
        <v>397.2</v>
      </c>
      <c r="P269" s="558">
        <f ca="1">IF(M269&gt;0,N269*100/M269,0)</f>
        <v>91.52073732718894</v>
      </c>
      <c r="Q269" s="558">
        <f ca="1">Q270+Q271</f>
        <v>53440</v>
      </c>
      <c r="R269" s="558">
        <f ca="1">R270+R271</f>
        <v>53440</v>
      </c>
      <c r="S269" s="558">
        <f ca="1">S270+S271</f>
        <v>46560</v>
      </c>
      <c r="T269" s="558">
        <f ca="1">IF(Q269&gt;0,S269*100/Q269,0)</f>
        <v>87.125748502994014</v>
      </c>
      <c r="U269" s="558">
        <f ca="1">IF(R269&gt;0,S269*100/R269,0)</f>
        <v>87.125748502994014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IFERROR(__xludf.DUMMYFUNCTION("IMPORTRANGE(""https://docs.google.com/spreadsheets/d/1-uDff_7J0KD5mKrp0Vvzr7lt3OU09vwQwhkpOPPYv2Y/edit?usp=sharing"",""งบพรบ!DE16"")"),5000)</f>
        <v>5000</v>
      </c>
      <c r="M271" s="558">
        <f ca="1">IFERROR(__xludf.DUMMYFUNCTION("IMPORTRANGE(""https://docs.google.com/spreadsheets/d/1-uDff_7J0KD5mKrp0Vvzr7lt3OU09vwQwhkpOPPYv2Y/edit?usp=sharing"",""งบพรบ!DJ16"")"),21700)</f>
        <v>21700</v>
      </c>
      <c r="N271" s="558">
        <f ca="1">IFERROR(__xludf.DUMMYFUNCTION("IMPORTRANGE(""https://docs.google.com/spreadsheets/d/1-uDff_7J0KD5mKrp0Vvzr7lt3OU09vwQwhkpOPPYv2Y/edit?usp=sharing"",""งบพรบ!DL16"")"),19860)</f>
        <v>19860</v>
      </c>
      <c r="O271" s="558">
        <f ca="1">IF(L271&gt;0,N271*100/L271,0)</f>
        <v>397.2</v>
      </c>
      <c r="P271" s="558">
        <f ca="1">IF(M271&gt;0,N271*100/M271,0)</f>
        <v>91.52073732718894</v>
      </c>
      <c r="Q271" s="558">
        <f ca="1">IFERROR(__xludf.DUMMYFUNCTION("IMPORTRANGE(""https://docs.google.com/spreadsheets/d/1ItG2mGa2ceCfYo0BwxsXqNm01IGEUdYcSSLTEv9YCik/edit?usp=sharing"",""เบิกจ่ายกองทุน!AP16"")"),53440)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IFERROR(__xludf.DUMMYFUNCTION("IMPORTRANGE(""https://docs.google.com/spreadsheets/d/1ItG2mGa2ceCfYo0BwxsXqNm01IGEUdYcSSLTEv9YCik/edit?usp=sharing"",""เบิกจ่ายกองทุน!AQ16"")"),53440)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IFERROR(__xludf.DUMMYFUNCTION("IMPORTRANGE(""https://docs.google.com/spreadsheets/d/1ItG2mGa2ceCfYo0BwxsXqNm01IGEUdYcSSLTEv9YCik/edit?usp=sharing"",""เบิกจ่ายกองทุน!AR16"")"),46560)</f>
        <v>46560</v>
      </c>
      <c r="T271" s="558">
        <f ca="1">IF(Q271&gt;0,S271*100/Q271,0)</f>
        <v>87.125748502994014</v>
      </c>
      <c r="U271" s="558">
        <f ca="1">IF(R271&gt;0,S271*100/R271,0)</f>
        <v>87.125748502994014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IFERROR(__xludf.DUMMYFUNCTION("IMPORTRANGE(""https://docs.google.com/spreadsheets/d/1-uDff_7J0KD5mKrp0Vvzr7lt3OU09vwQwhkpOPPYv2Y/edit?usp=sharing"",""งบพรบ!DH16"")"),0)</f>
        <v>0</v>
      </c>
      <c r="M274" s="558">
        <f ca="1">IFERROR(__xludf.DUMMYFUNCTION("IMPORTRANGE(""https://docs.google.com/spreadsheets/d/1-uDff_7J0KD5mKrp0Vvzr7lt3OU09vwQwhkpOPPYv2Y/edit?usp=sharing"",""งบพรบ!DK16"")"),0)</f>
        <v>0</v>
      </c>
      <c r="N274" s="558">
        <f ca="1">IFERROR(__xludf.DUMMYFUNCTION("IMPORTRANGE(""https://docs.google.com/spreadsheets/d/1-uDff_7J0KD5mKrp0Vvzr7lt3OU09vwQwhkpOPPYv2Y/edit?usp=sharing"",""งบพรบ!DM16"")"),0)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IFERROR(__xludf.DUMMYFUNCTION("IMPORTRANGE(""https://docs.google.com/spreadsheets/d/1eHaY18a8A9IcSdp1K8H6x8fbOy06t2VsZHhMHf-1x7Y/edit?usp=sharing"",""แผน!EC16"")"),24)</f>
        <v>24</v>
      </c>
      <c r="J276" s="377">
        <v>24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71120</v>
      </c>
      <c r="N282" s="547">
        <f ca="1">N283+N284</f>
        <v>63540</v>
      </c>
      <c r="O282" s="547">
        <f ca="1">IF(L282&gt;0,N282*100/L282,0)</f>
        <v>89.341957255343075</v>
      </c>
      <c r="P282" s="547">
        <f ca="1">IF(M282&gt;0,N282*100/M282,0)</f>
        <v>89.341957255343075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71120</v>
      </c>
      <c r="N284" s="224">
        <f ca="1">N287+N290</f>
        <v>63540</v>
      </c>
      <c r="O284" s="224">
        <f ca="1">IF(L284&gt;0,N284*100/L284,0)</f>
        <v>89.341957255343075</v>
      </c>
      <c r="P284" s="224">
        <f ca="1">IF(M284&gt;0,N284*100/M284,0)</f>
        <v>89.341957255343075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71120</v>
      </c>
      <c r="N285" s="224">
        <f ca="1">N286+N287</f>
        <v>63540</v>
      </c>
      <c r="O285" s="224">
        <f ca="1">IF(L285&gt;0,N285*100/L285,0)</f>
        <v>89.341957255343075</v>
      </c>
      <c r="P285" s="224">
        <f ca="1">IF(M285&gt;0,N285*100/M285,0)</f>
        <v>89.341957255343075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IFERROR(__xludf.DUMMYFUNCTION("IMPORTRANGE(""https://docs.google.com/spreadsheets/d/1-uDff_7J0KD5mKrp0Vvzr7lt3OU09vwQwhkpOPPYv2Y/edit?usp=sharing"",""งบพรบ!DO16"")"),71120)</f>
        <v>71120</v>
      </c>
      <c r="M287" s="224">
        <f ca="1">IFERROR(__xludf.DUMMYFUNCTION("IMPORTRANGE(""https://docs.google.com/spreadsheets/d/1-uDff_7J0KD5mKrp0Vvzr7lt3OU09vwQwhkpOPPYv2Y/edit?usp=sharing"",""งบพรบ!DT16"")"),71120)</f>
        <v>71120</v>
      </c>
      <c r="N287" s="224">
        <f ca="1">IFERROR(__xludf.DUMMYFUNCTION("IMPORTRANGE(""https://docs.google.com/spreadsheets/d/1-uDff_7J0KD5mKrp0Vvzr7lt3OU09vwQwhkpOPPYv2Y/edit?usp=sharing"",""งบพรบ!DV16"")"),63540)</f>
        <v>63540</v>
      </c>
      <c r="O287" s="224">
        <f ca="1">IF(L287&gt;0,N287*100/L287,0)</f>
        <v>89.341957255343075</v>
      </c>
      <c r="P287" s="224">
        <f ca="1">IF(M287&gt;0,N287*100/M287,0)</f>
        <v>89.341957255343075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IFERROR(__xludf.DUMMYFUNCTION("IMPORTRANGE(""https://docs.google.com/spreadsheets/d/1-uDff_7J0KD5mKrp0Vvzr7lt3OU09vwQwhkpOPPYv2Y/edit?usp=sharing"",""งบพรบ!DR16"")"),0)</f>
        <v>0</v>
      </c>
      <c r="M290" s="224">
        <f ca="1">IFERROR(__xludf.DUMMYFUNCTION("IMPORTRANGE(""https://docs.google.com/spreadsheets/d/1-uDff_7J0KD5mKrp0Vvzr7lt3OU09vwQwhkpOPPYv2Y/edit?usp=sharing"",""งบพรบ!DU16"")"),0)</f>
        <v>0</v>
      </c>
      <c r="N290" s="224">
        <f ca="1">IFERROR(__xludf.DUMMYFUNCTION("IMPORTRANGE(""https://docs.google.com/spreadsheets/d/1-uDff_7J0KD5mKrp0Vvzr7lt3OU09vwQwhkpOPPYv2Y/edit?usp=sharing"",""งบพรบ!DW16"")"),0)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IFERROR(__xludf.DUMMYFUNCTION("IMPORTRANGE(""https://docs.google.com/spreadsheets/d/1eHaY18a8A9IcSdp1K8H6x8fbOy06t2VsZHhMHf-1x7Y/edit?usp=sharing"",""แผน!EE16"")"),200)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IFERROR(__xludf.DUMMYFUNCTION("IMPORTRANGE(""https://docs.google.com/spreadsheets/d/1eHaY18a8A9IcSdp1K8H6x8fbOy06t2VsZHhMHf-1x7Y/edit?usp=sharing"",""แผน!ED16"")"),20)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IFERROR(__xludf.DUMMYFUNCTION("IMPORTRANGE(""https://docs.google.com/spreadsheets/d/1eHaY18a8A9IcSdp1K8H6x8fbOy06t2VsZHhMHf-1x7Y/edit?usp=sharing"",""แผน!ED16"")"),20)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IFERROR(__xludf.DUMMYFUNCTION("IMPORTRANGE(""https://docs.google.com/spreadsheets/d/1eHaY18a8A9IcSdp1K8H6x8fbOy06t2VsZHhMHf-1x7Y/edit?usp=sharing"",""แผน!ED16"")"),20)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IFERROR(__xludf.DUMMYFUNCTION("IMPORTRANGE(""https://docs.google.com/spreadsheets/d/1eHaY18a8A9IcSdp1K8H6x8fbOy06t2VsZHhMHf-1x7Y/edit?usp=sharing"",""แผน!ED16"")"),20)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IFERROR(__xludf.DUMMYFUNCTION("IMPORTRANGE(""https://docs.google.com/spreadsheets/d/1eHaY18a8A9IcSdp1K8H6x8fbOy06t2VsZHhMHf-1x7Y/edit?usp=sharing"",""แผน!ED16"")"),20)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344800</v>
      </c>
      <c r="M303" s="547">
        <f ca="1">M304+M305</f>
        <v>344800</v>
      </c>
      <c r="N303" s="547">
        <f ca="1">N304+N305</f>
        <v>323800</v>
      </c>
      <c r="O303" s="547">
        <f ca="1">IF(L303&gt;0,N303*100/L303,0)</f>
        <v>93.909512761020878</v>
      </c>
      <c r="P303" s="547">
        <f ca="1">IF(M303&gt;0,N303*100/M303,0)</f>
        <v>93.909512761020878</v>
      </c>
      <c r="Q303" s="547">
        <f ca="1">Q304+Q305</f>
        <v>144609.24</v>
      </c>
      <c r="R303" s="547">
        <f ca="1">R304+R305</f>
        <v>148809</v>
      </c>
      <c r="S303" s="547">
        <f ca="1">S304+S305</f>
        <v>116108</v>
      </c>
      <c r="T303" s="547">
        <f ca="1">IF(Q303&gt;0,S303*100/Q303,0)</f>
        <v>80.290858315831002</v>
      </c>
      <c r="U303" s="547">
        <f ca="1">IF(R303&gt;0,S303*100/R303,0)</f>
        <v>78.024850647474281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344800</v>
      </c>
      <c r="M305" s="224">
        <f ca="1">M308+M311</f>
        <v>344800</v>
      </c>
      <c r="N305" s="224">
        <f ca="1">N308+N311</f>
        <v>323800</v>
      </c>
      <c r="O305" s="224">
        <f ca="1">IF(L305&gt;0,N305*100/L305,0)</f>
        <v>93.909512761020878</v>
      </c>
      <c r="P305" s="224">
        <f ca="1">IF(M305&gt;0,N305*100/M305,0)</f>
        <v>93.909512761020878</v>
      </c>
      <c r="Q305" s="224">
        <f ca="1">Q308+Q311</f>
        <v>144609.24</v>
      </c>
      <c r="R305" s="224">
        <f ca="1">R308+R311</f>
        <v>148809</v>
      </c>
      <c r="S305" s="224">
        <f ca="1">S308+S311</f>
        <v>116108</v>
      </c>
      <c r="T305" s="224">
        <f ca="1">IF(Q305&gt;0,S305*100/Q305,0)</f>
        <v>80.290858315831002</v>
      </c>
      <c r="U305" s="224">
        <f ca="1">IF(R305&gt;0,S305*100/R305,0)</f>
        <v>78.024850647474281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344800</v>
      </c>
      <c r="M306" s="224">
        <f ca="1">M307+M308</f>
        <v>344800</v>
      </c>
      <c r="N306" s="224">
        <f ca="1">N307+N308</f>
        <v>323800</v>
      </c>
      <c r="O306" s="224">
        <f ca="1">IF(L306&gt;0,N306*100/L306,0)</f>
        <v>93.909512761020878</v>
      </c>
      <c r="P306" s="224">
        <f ca="1">IF(M306&gt;0,N306*100/M306,0)</f>
        <v>93.909512761020878</v>
      </c>
      <c r="Q306" s="224">
        <f ca="1">Q307+Q308</f>
        <v>144609.24</v>
      </c>
      <c r="R306" s="224">
        <f ca="1">R307+R308</f>
        <v>148809</v>
      </c>
      <c r="S306" s="224">
        <f ca="1">S307+S308</f>
        <v>116108</v>
      </c>
      <c r="T306" s="224">
        <f ca="1">IF(Q306&gt;0,S306*100/Q306,0)</f>
        <v>80.290858315831002</v>
      </c>
      <c r="U306" s="224">
        <f ca="1">IF(R306&gt;0,S306*100/R306,0)</f>
        <v>78.024850647474281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IFERROR(__xludf.DUMMYFUNCTION("IMPORTRANGE(""https://docs.google.com/spreadsheets/d/1-uDff_7J0KD5mKrp0Vvzr7lt3OU09vwQwhkpOPPYv2Y/edit?usp=sharing"",""งบพรบ!DY16"")"),344800)</f>
        <v>344800</v>
      </c>
      <c r="M308" s="224">
        <f ca="1">IFERROR(__xludf.DUMMYFUNCTION("IMPORTRANGE(""https://docs.google.com/spreadsheets/d/1-uDff_7J0KD5mKrp0Vvzr7lt3OU09vwQwhkpOPPYv2Y/edit?usp=sharing"",""งบพรบ!ED16"")"),344800)</f>
        <v>344800</v>
      </c>
      <c r="N308" s="224">
        <f ca="1">IFERROR(__xludf.DUMMYFUNCTION("IMPORTRANGE(""https://docs.google.com/spreadsheets/d/1-uDff_7J0KD5mKrp0Vvzr7lt3OU09vwQwhkpOPPYv2Y/edit?usp=sharing"",""งบพรบ!EF16"")"),323800)</f>
        <v>323800</v>
      </c>
      <c r="O308" s="224">
        <f ca="1">IF(L308&gt;0,N308*100/L308,0)</f>
        <v>93.909512761020878</v>
      </c>
      <c r="P308" s="224">
        <f ca="1">IF(M308&gt;0,N308*100/M308,0)</f>
        <v>93.909512761020878</v>
      </c>
      <c r="Q308" s="224">
        <f ca="1">IFERROR(__xludf.DUMMYFUNCTION("IMPORTRANGE(""https://docs.google.com/spreadsheets/d/1ItG2mGa2ceCfYo0BwxsXqNm01IGEUdYcSSLTEv9YCik/edit?usp=sharing"",""เบิกจ่ายกองทุน!BB16"")"),144609.24)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IFERROR(__xludf.DUMMYFUNCTION("IMPORTRANGE(""https://docs.google.com/spreadsheets/d/1ItG2mGa2ceCfYo0BwxsXqNm01IGEUdYcSSLTEv9YCik/edit?usp=sharing"",""เบิกจ่ายกองทุน!BC16"")"),148809)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IFERROR(__xludf.DUMMYFUNCTION("IMPORTRANGE(""https://docs.google.com/spreadsheets/d/1ItG2mGa2ceCfYo0BwxsXqNm01IGEUdYcSSLTEv9YCik/edit?usp=sharing"",""เบิกจ่ายกองทุน!BD16"")"),116108)</f>
        <v>116108</v>
      </c>
      <c r="T308" s="224">
        <f ca="1">IF(Q308&gt;0,S308*100/Q308,0)</f>
        <v>80.290858315831002</v>
      </c>
      <c r="U308" s="224">
        <f ca="1">IF(R308&gt;0,S308*100/R308,0)</f>
        <v>78.024850647474281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IFERROR(__xludf.DUMMYFUNCTION("IMPORTRANGE(""https://docs.google.com/spreadsheets/d/1-uDff_7J0KD5mKrp0Vvzr7lt3OU09vwQwhkpOPPYv2Y/edit?usp=sharing"",""งบพรบ!EB16"")"),0)</f>
        <v>0</v>
      </c>
      <c r="M311" s="224">
        <f ca="1">IFERROR(__xludf.DUMMYFUNCTION("IMPORTRANGE(""https://docs.google.com/spreadsheets/d/1-uDff_7J0KD5mKrp0Vvzr7lt3OU09vwQwhkpOPPYv2Y/edit?usp=sharing"",""งบพรบ!EE16"")"),0)</f>
        <v>0</v>
      </c>
      <c r="N311" s="224">
        <f ca="1">IFERROR(__xludf.DUMMYFUNCTION("IMPORTRANGE(""https://docs.google.com/spreadsheets/d/1-uDff_7J0KD5mKrp0Vvzr7lt3OU09vwQwhkpOPPYv2Y/edit?usp=sharing"",""งบพรบ!EG16"")"),0)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IFERROR(__xludf.DUMMYFUNCTION("IMPORTRANGE(""https://docs.google.com/spreadsheets/d/1eHaY18a8A9IcSdp1K8H6x8fbOy06t2VsZHhMHf-1x7Y/edit?usp=sharing"",""แผน!EF16"")"),20)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1</v>
      </c>
      <c r="J319" s="632">
        <f>J330</f>
        <v>1</v>
      </c>
      <c r="K319" s="631">
        <f ca="1">IF(I319&gt;0,J319*100/I319,0)</f>
        <v>100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IFERROR(__xludf.DUMMYFUNCTION("IMPORTRANGE(""https://docs.google.com/spreadsheets/d/1-uDff_7J0KD5mKrp0Vvzr7lt3OU09vwQwhkpOPPYv2Y/edit?usp=sharing"",""งบพรบ!EI16"")"),0)</f>
        <v>0</v>
      </c>
      <c r="M325" s="224">
        <f ca="1">IFERROR(__xludf.DUMMYFUNCTION("IMPORTRANGE(""https://docs.google.com/spreadsheets/d/1-uDff_7J0KD5mKrp0Vvzr7lt3OU09vwQwhkpOPPYv2Y/edit?usp=sharing"",""งบพรบ!EN16"")"),0)</f>
        <v>0</v>
      </c>
      <c r="N325" s="224">
        <f ca="1">IFERROR(__xludf.DUMMYFUNCTION("IMPORTRANGE(""https://docs.google.com/spreadsheets/d/1-uDff_7J0KD5mKrp0Vvzr7lt3OU09vwQwhkpOPPYv2Y/edit?usp=sharing"",""งบพรบ!EP16"")"),0)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IFERROR(__xludf.DUMMYFUNCTION("IMPORTRANGE(""https://docs.google.com/spreadsheets/d/1-uDff_7J0KD5mKrp0Vvzr7lt3OU09vwQwhkpOPPYv2Y/edit?usp=sharing"",""งบพรบ!EL16"")"),0)</f>
        <v>0</v>
      </c>
      <c r="M328" s="224">
        <f ca="1">IFERROR(__xludf.DUMMYFUNCTION("IMPORTRANGE(""https://docs.google.com/spreadsheets/d/1-uDff_7J0KD5mKrp0Vvzr7lt3OU09vwQwhkpOPPYv2Y/edit?usp=sharing"",""งบพรบ!EO16"")"),0)</f>
        <v>0</v>
      </c>
      <c r="N328" s="224">
        <f ca="1">IFERROR(__xludf.DUMMYFUNCTION("IMPORTRANGE(""https://docs.google.com/spreadsheets/d/1-uDff_7J0KD5mKrp0Vvzr7lt3OU09vwQwhkpOPPYv2Y/edit?usp=sharing"",""งบพรบ!EQ16"")"),0)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IFERROR(__xludf.DUMMYFUNCTION("IMPORTRANGE(""https://docs.google.com/spreadsheets/d/1eHaY18a8A9IcSdp1K8H6x8fbOy06t2VsZHhMHf-1x7Y/edit?usp=sharing"",""แผน!EJ16"")"),1)</f>
        <v>1</v>
      </c>
      <c r="J330" s="380">
        <v>1</v>
      </c>
      <c r="K330" s="224">
        <f ca="1">IF(I330&gt;0,J330*100/I330,0)</f>
        <v>100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IFERROR(__xludf.DUMMYFUNCTION("IMPORTRANGE(""https://docs.google.com/spreadsheets/d/1eHaY18a8A9IcSdp1K8H6x8fbOy06t2VsZHhMHf-1x7Y/edit?usp=sharing"",""แผน!EK16"")"),900)</f>
        <v>900</v>
      </c>
      <c r="J332" s="300">
        <f ca="1">J344+J347+J348+J349+J353+J354</f>
        <v>11134</v>
      </c>
      <c r="K332" s="679">
        <f ca="1">IF(I332&gt;0,J332*100/I332,0)</f>
        <v>1237.1111111111111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176000</v>
      </c>
      <c r="M333" s="547">
        <f ca="1">M334+M335</f>
        <v>176000</v>
      </c>
      <c r="N333" s="547">
        <f ca="1">N334+N335</f>
        <v>158945.79999999999</v>
      </c>
      <c r="O333" s="547">
        <f ca="1">IF(L333&gt;0,N333*100/L333,0)</f>
        <v>90.310113636363624</v>
      </c>
      <c r="P333" s="547">
        <f ca="1">IF(M333&gt;0,N333*100/M333,0)</f>
        <v>90.310113636363624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176000</v>
      </c>
      <c r="M335" s="224">
        <f ca="1">M338+M341</f>
        <v>176000</v>
      </c>
      <c r="N335" s="224">
        <f ca="1">N338+N341</f>
        <v>158945.79999999999</v>
      </c>
      <c r="O335" s="224">
        <f ca="1">IF(L335&gt;0,N335*100/L335,0)</f>
        <v>90.310113636363624</v>
      </c>
      <c r="P335" s="224">
        <f ca="1">IF(M335&gt;0,N335*100/M335,0)</f>
        <v>90.310113636363624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176000</v>
      </c>
      <c r="M336" s="224">
        <f ca="1">M337+M338</f>
        <v>176000</v>
      </c>
      <c r="N336" s="224">
        <f ca="1">N337+N338</f>
        <v>158945.79999999999</v>
      </c>
      <c r="O336" s="224">
        <f ca="1">IF(L336&gt;0,N336*100/L336,0)</f>
        <v>90.310113636363624</v>
      </c>
      <c r="P336" s="224">
        <f ca="1">IF(M336&gt;0,N336*100/M336,0)</f>
        <v>90.310113636363624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IFERROR(__xludf.DUMMYFUNCTION("IMPORTRANGE(""https://docs.google.com/spreadsheets/d/1-uDff_7J0KD5mKrp0Vvzr7lt3OU09vwQwhkpOPPYv2Y/edit?usp=sharing"",""งบพรบ!ES16"")"),176000)</f>
        <v>176000</v>
      </c>
      <c r="M338" s="224">
        <f ca="1">IFERROR(__xludf.DUMMYFUNCTION("IMPORTRANGE(""https://docs.google.com/spreadsheets/d/1-uDff_7J0KD5mKrp0Vvzr7lt3OU09vwQwhkpOPPYv2Y/edit?usp=sharing"",""งบพรบ!EX16"")"),176000)</f>
        <v>176000</v>
      </c>
      <c r="N338" s="224">
        <f ca="1">IFERROR(__xludf.DUMMYFUNCTION("IMPORTRANGE(""https://docs.google.com/spreadsheets/d/1-uDff_7J0KD5mKrp0Vvzr7lt3OU09vwQwhkpOPPYv2Y/edit?usp=sharing"",""งบพรบ!EZ16"")"),158945.8)</f>
        <v>158945.79999999999</v>
      </c>
      <c r="O338" s="224">
        <f ca="1">IF(L338&gt;0,N338*100/L338,0)</f>
        <v>90.310113636363624</v>
      </c>
      <c r="P338" s="224">
        <f ca="1">IF(M338&gt;0,N338*100/M338,0)</f>
        <v>90.310113636363624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IFERROR(__xludf.DUMMYFUNCTION("IMPORTRANGE(""https://docs.google.com/spreadsheets/d/1-uDff_7J0KD5mKrp0Vvzr7lt3OU09vwQwhkpOPPYv2Y/edit?usp=sharing"",""งบพรบ!EV16"")"),0)</f>
        <v>0</v>
      </c>
      <c r="M341" s="224">
        <f ca="1">IFERROR(__xludf.DUMMYFUNCTION("IMPORTRANGE(""https://docs.google.com/spreadsheets/d/1-uDff_7J0KD5mKrp0Vvzr7lt3OU09vwQwhkpOPPYv2Y/edit?usp=sharing"",""งบพรบ!EY16"")"),0)</f>
        <v>0</v>
      </c>
      <c r="N341" s="224">
        <f ca="1">IFERROR(__xludf.DUMMYFUNCTION("IMPORTRANGE(""https://docs.google.com/spreadsheets/d/1-uDff_7J0KD5mKrp0Vvzr7lt3OU09vwQwhkpOPPYv2Y/edit?usp=sharing"",""งบพรบ!FA16"")"),0)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6394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IFERROR(__xludf.DUMMYFUNCTION("IMPORTRANGE(""https://docs.google.com/spreadsheets/d/1awYsYK3VOup2i3Pq_Yjnu8DRu_mYwSBnCR2QPthd0rU/edit?usp=sharing"",""ศูนย์ยกเว้นโฉนด!D16"")"),5439)</f>
        <v>5439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IFERROR(__xludf.DUMMYFUNCTION("IMPORTRANGE(""https://docs.google.com/spreadsheets/d/1eHaY18a8A9IcSdp1K8H6x8fbOy06t2VsZHhMHf-1x7Y/edit?usp=sharing"",""แผน!EL16"")"),4)</f>
        <v>4</v>
      </c>
      <c r="J346" s="184">
        <f ca="1">IFERROR(__xludf.DUMMYFUNCTION("IMPORTRANGE(""https://docs.google.com/spreadsheets/d/1awYsYK3VOup2i3Pq_Yjnu8DRu_mYwSBnCR2QPthd0rU/edit?usp=sharing"",""ศูนย์รวม!E16"")"),4)</f>
        <v>4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IFERROR(__xludf.DUMMYFUNCTION("IMPORTRANGE(""https://docs.google.com/spreadsheets/d/1awYsYK3VOup2i3Pq_Yjnu8DRu_mYwSBnCR2QPthd0rU/edit?usp=sharing"",""ศูนย์ยกเว้นโฉนด!F16"")"),44)</f>
        <v>44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IFERROR(__xludf.DUMMYFUNCTION("IMPORTRANGE(""https://docs.google.com/spreadsheets/d/1awYsYK3VOup2i3Pq_Yjnu8DRu_mYwSBnCR2QPthd0rU/edit?usp=sharing"",""ศูนย์ยกเว้นโฉนด!G16"")"),879)</f>
        <v>879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IFERROR(__xludf.DUMMYFUNCTION("IMPORTRANGE(""https://docs.google.com/spreadsheets/d/1awYsYK3VOup2i3Pq_Yjnu8DRu_mYwSBnCR2QPthd0rU/edit?usp=sharing"",""ศูนย์ยกเว้นโฉนด!H16"")"),32)</f>
        <v>32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4740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IFERROR(__xludf.DUMMYFUNCTION("IMPORTRANGE(""https://docs.google.com/spreadsheets/d/1awYsYK3VOup2i3Pq_Yjnu8DRu_mYwSBnCR2QPthd0rU/edit?usp=sharing"",""โฉนดM3!G16"")"),10)</f>
        <v>10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IFERROR(__xludf.DUMMYFUNCTION("IMPORTRANGE(""https://docs.google.com/spreadsheets/d/1awYsYK3VOup2i3Pq_Yjnu8DRu_mYwSBnCR2QPthd0rU/edit?usp=sharing"",""โฉนดM3!H16"")"),3927)</f>
        <v>3927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IFERROR(__xludf.DUMMYFUNCTION("IMPORTRANGE(""https://docs.google.com/spreadsheets/d/1awYsYK3VOup2i3Pq_Yjnu8DRu_mYwSBnCR2QPthd0rU/edit?usp=sharing"",""โฉนดM3!I16"")"),813)</f>
        <v>813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572630</v>
      </c>
      <c r="M356" s="547">
        <f ca="1">M357+M358</f>
        <v>756225</v>
      </c>
      <c r="N356" s="547">
        <f ca="1">N357+N358</f>
        <v>674496.66</v>
      </c>
      <c r="O356" s="547">
        <f ca="1">IF(L356&gt;0,N356*100/L356,0)</f>
        <v>117.78926357333705</v>
      </c>
      <c r="P356" s="547">
        <f ca="1">IF(M356&gt;0,N356*100/M356,0)</f>
        <v>89.192589507091142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572630</v>
      </c>
      <c r="M358" s="224">
        <f ca="1">M361+M364</f>
        <v>756225</v>
      </c>
      <c r="N358" s="224">
        <f ca="1">N361+N364</f>
        <v>674496.66</v>
      </c>
      <c r="O358" s="224">
        <f ca="1">IF(L358&gt;0,N358*100/L358,0)</f>
        <v>117.78926357333705</v>
      </c>
      <c r="P358" s="224">
        <f ca="1">IF(M358&gt;0,N358*100/M358,0)</f>
        <v>89.192589507091142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572630</v>
      </c>
      <c r="M359" s="224">
        <f ca="1">M360+M361</f>
        <v>756225</v>
      </c>
      <c r="N359" s="224">
        <f ca="1">N360+N361</f>
        <v>674496.66</v>
      </c>
      <c r="O359" s="224">
        <f ca="1">IF(L359&gt;0,N359*100/L359,0)</f>
        <v>117.78926357333705</v>
      </c>
      <c r="P359" s="224">
        <f ca="1">IF(M359&gt;0,N359*100/M359,0)</f>
        <v>89.192589507091142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IFERROR(__xludf.DUMMYFUNCTION("IMPORTRANGE(""https://docs.google.com/spreadsheets/d/1-uDff_7J0KD5mKrp0Vvzr7lt3OU09vwQwhkpOPPYv2Y/edit?usp=sharing"",""งบพรบ!FC16"")"),572630)</f>
        <v>572630</v>
      </c>
      <c r="M361" s="224">
        <f ca="1">IFERROR(__xludf.DUMMYFUNCTION("IMPORTRANGE(""https://docs.google.com/spreadsheets/d/1-uDff_7J0KD5mKrp0Vvzr7lt3OU09vwQwhkpOPPYv2Y/edit?usp=sharing"",""งบพรบ!FH16"")"),756225)</f>
        <v>756225</v>
      </c>
      <c r="N361" s="224">
        <f ca="1">IFERROR(__xludf.DUMMYFUNCTION("IMPORTRANGE(""https://docs.google.com/spreadsheets/d/1-uDff_7J0KD5mKrp0Vvzr7lt3OU09vwQwhkpOPPYv2Y/edit?usp=sharing"",""งบพรบ!FJ16"")"),674496.66)</f>
        <v>674496.66</v>
      </c>
      <c r="O361" s="224">
        <f ca="1">IF(L361&gt;0,N361*100/L361,0)</f>
        <v>117.78926357333705</v>
      </c>
      <c r="P361" s="224">
        <f ca="1">IF(M361&gt;0,N361*100/M361,0)</f>
        <v>89.192589507091142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IFERROR(__xludf.DUMMYFUNCTION("IMPORTRANGE(""https://docs.google.com/spreadsheets/d/1-uDff_7J0KD5mKrp0Vvzr7lt3OU09vwQwhkpOPPYv2Y/edit?usp=sharing"",""งบพรบ!FF16"")"),0)</f>
        <v>0</v>
      </c>
      <c r="M364" s="224">
        <f ca="1">IFERROR(__xludf.DUMMYFUNCTION("IMPORTRANGE(""https://docs.google.com/spreadsheets/d/1-uDff_7J0KD5mKrp0Vvzr7lt3OU09vwQwhkpOPPYv2Y/edit?usp=sharing"",""งบพรบ!FI16"")"),0)</f>
        <v>0</v>
      </c>
      <c r="N364" s="224">
        <f ca="1">IFERROR(__xludf.DUMMYFUNCTION("IMPORTRANGE(""https://docs.google.com/spreadsheets/d/1-uDff_7J0KD5mKrp0Vvzr7lt3OU09vwQwhkpOPPYv2Y/edit?usp=sharing"",""งบพรบ!FK16"")"),0)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195</v>
      </c>
      <c r="J365" s="302">
        <f ca="1">J371</f>
        <v>297</v>
      </c>
      <c r="K365" s="303">
        <f ca="1">IF(I365&gt;0,J365*100/I365,0)</f>
        <v>152.30769230769232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IFERROR(__xludf.DUMMYFUNCTION("IMPORTRANGE(""https://docs.google.com/spreadsheets/d/1tdoBKaGub7dwA3U6UFTqxio9LNnvDCQjHKmttSEBsFQ/edit?usp=sharing"",""จัดที่ดิน!AB16"")"),196)</f>
        <v>196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IFERROR(__xludf.DUMMYFUNCTION("IMPORTRANGE(""https://docs.google.com/spreadsheets/d/1eHaY18a8A9IcSdp1K8H6x8fbOy06t2VsZHhMHf-1x7Y/edit?usp=sharing"",""แผน!EW16"")"),605)</f>
        <v>605</v>
      </c>
      <c r="J368" s="668">
        <f ca="1">IFERROR(__xludf.DUMMYFUNCTION("IMPORTRANGE(""https://docs.google.com/spreadsheets/d/1tdoBKaGub7dwA3U6UFTqxio9LNnvDCQjHKmttSEBsFQ/edit?usp=sharing"",""จัดที่ดิน!AC16"")"),628.36)</f>
        <v>628.36</v>
      </c>
      <c r="K368" s="224">
        <f ca="1">IF(I368&gt;0,J368*100/I368,0)</f>
        <v>103.86115702479339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IFERROR(__xludf.DUMMYFUNCTION("IMPORTRANGE(""https://docs.google.com/spreadsheets/d/1eHaY18a8A9IcSdp1K8H6x8fbOy06t2VsZHhMHf-1x7Y/edit?usp=sharing"",""แผน!EX16"")"),195)</f>
        <v>195</v>
      </c>
      <c r="J369" s="184">
        <f ca="1">IFERROR(__xludf.DUMMYFUNCTION("IMPORTRANGE(""https://docs.google.com/spreadsheets/d/1tdoBKaGub7dwA3U6UFTqxio9LNnvDCQjHKmttSEBsFQ/edit?usp=sharing"",""จัดที่ดิน!AD16"")"),378)</f>
        <v>378</v>
      </c>
      <c r="K369" s="224">
        <f ca="1">IF(I369&gt;0,J369*100/I369,0)</f>
        <v>193.84615384615384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IFERROR(__xludf.DUMMYFUNCTION("IMPORTRANGE(""https://docs.google.com/spreadsheets/d/1tdoBKaGub7dwA3U6UFTqxio9LNnvDCQjHKmttSEBsFQ/edit?usp=sharing"",""จัดที่ดิน!AE16"")"),1932.93)</f>
        <v>1932.93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IFERROR(__xludf.DUMMYFUNCTION("IMPORTRANGE(""https://docs.google.com/spreadsheets/d/1eHaY18a8A9IcSdp1K8H6x8fbOy06t2VsZHhMHf-1x7Y/edit?usp=sharing"",""แผน!EY16"")"),195)</f>
        <v>195</v>
      </c>
      <c r="J371" s="184">
        <f ca="1">IFERROR(__xludf.DUMMYFUNCTION("IMPORTRANGE(""https://docs.google.com/spreadsheets/d/1tdoBKaGub7dwA3U6UFTqxio9LNnvDCQjHKmttSEBsFQ/edit?usp=sharing"",""จัดที่ดิน!AF16"")"),297)</f>
        <v>297</v>
      </c>
      <c r="K371" s="224">
        <f ca="1">IF(I371&gt;0,J371*100/I371,0)</f>
        <v>152.30769230769232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IFERROR(__xludf.DUMMYFUNCTION("IMPORTRANGE(""https://docs.google.com/spreadsheets/d/1tdoBKaGub7dwA3U6UFTqxio9LNnvDCQjHKmttSEBsFQ/edit?usp=sharing"",""จัดที่ดิน!AG16"")"),1731.87)</f>
        <v>1731.87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835">
        <f ca="1">I386+I388</f>
        <v>2000</v>
      </c>
      <c r="J374" s="660">
        <f ca="1">J386+J388</f>
        <v>1029</v>
      </c>
      <c r="K374" s="659">
        <f ca="1">IF(I374&gt;0,J374*100/I374,0)</f>
        <v>51.45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834"/>
      <c r="J375" s="44"/>
      <c r="K375" s="45"/>
      <c r="L375" s="548">
        <f ca="1">L376+L377</f>
        <v>48400</v>
      </c>
      <c r="M375" s="547">
        <f ca="1">M376+M377</f>
        <v>48400</v>
      </c>
      <c r="N375" s="547">
        <f ca="1">N376+N377</f>
        <v>47950</v>
      </c>
      <c r="O375" s="547">
        <f ca="1">IF(L375&gt;0,N375*100/L375,0)</f>
        <v>99.070247933884303</v>
      </c>
      <c r="P375" s="547">
        <f ca="1">IF(M375&gt;0,N375*100/M375,0)</f>
        <v>99.070247933884303</v>
      </c>
      <c r="Q375" s="547">
        <f ca="1">Q376+Q377</f>
        <v>125000</v>
      </c>
      <c r="R375" s="547">
        <f ca="1">R376+R377</f>
        <v>125000</v>
      </c>
      <c r="S375" s="547">
        <f ca="1">S376+S377</f>
        <v>68580</v>
      </c>
      <c r="T375" s="547">
        <f ca="1">IF(Q375&gt;0,S375*100/Q375,0)</f>
        <v>54.863999999999997</v>
      </c>
      <c r="U375" s="547">
        <f ca="1">IF(R375&gt;0,S375*100/R375,0)</f>
        <v>54.863999999999997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83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834"/>
      <c r="J377" s="44"/>
      <c r="K377" s="45"/>
      <c r="L377" s="545">
        <f ca="1">L380+L383</f>
        <v>48400</v>
      </c>
      <c r="M377" s="224">
        <f ca="1">M380+M383</f>
        <v>48400</v>
      </c>
      <c r="N377" s="224">
        <f ca="1">N380+N383</f>
        <v>47950</v>
      </c>
      <c r="O377" s="224">
        <f ca="1">IF(L377&gt;0,N377*100/L377,0)</f>
        <v>99.070247933884303</v>
      </c>
      <c r="P377" s="224">
        <f ca="1">IF(M377&gt;0,N377*100/M377,0)</f>
        <v>99.070247933884303</v>
      </c>
      <c r="Q377" s="224">
        <f ca="1">Q380+Q383</f>
        <v>125000</v>
      </c>
      <c r="R377" s="224">
        <f ca="1">R380+R383</f>
        <v>125000</v>
      </c>
      <c r="S377" s="224">
        <f ca="1">S380+S383</f>
        <v>68580</v>
      </c>
      <c r="T377" s="224">
        <f ca="1">IF(Q377&gt;0,S377*100/Q377,0)</f>
        <v>54.863999999999997</v>
      </c>
      <c r="U377" s="224">
        <f ca="1">IF(R377&gt;0,S377*100/R377,0)</f>
        <v>54.863999999999997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833"/>
      <c r="J378" s="135"/>
      <c r="K378" s="136"/>
      <c r="L378" s="545">
        <f ca="1">L379+L380</f>
        <v>48400</v>
      </c>
      <c r="M378" s="224">
        <f ca="1">M379+M380</f>
        <v>48400</v>
      </c>
      <c r="N378" s="224">
        <f ca="1">N379+N380</f>
        <v>47950</v>
      </c>
      <c r="O378" s="224">
        <f ca="1">IF(L378&gt;0,N378*100/L378,0)</f>
        <v>99.070247933884303</v>
      </c>
      <c r="P378" s="224">
        <f ca="1">IF(M378&gt;0,N378*100/M378,0)</f>
        <v>99.070247933884303</v>
      </c>
      <c r="Q378" s="224">
        <f ca="1">Q379+Q380</f>
        <v>125000</v>
      </c>
      <c r="R378" s="224">
        <f ca="1">R379+R380</f>
        <v>125000</v>
      </c>
      <c r="S378" s="224">
        <f ca="1">S379+S380</f>
        <v>68580</v>
      </c>
      <c r="T378" s="224">
        <f ca="1">IF(Q378&gt;0,S378*100/Q378,0)</f>
        <v>54.863999999999997</v>
      </c>
      <c r="U378" s="224">
        <f ca="1">IF(R378&gt;0,S378*100/R378,0)</f>
        <v>54.863999999999997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833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833"/>
      <c r="J380" s="135"/>
      <c r="K380" s="136"/>
      <c r="L380" s="545">
        <f ca="1">IFERROR(__xludf.DUMMYFUNCTION("IMPORTRANGE(""https://docs.google.com/spreadsheets/d/1-uDff_7J0KD5mKrp0Vvzr7lt3OU09vwQwhkpOPPYv2Y/edit?usp=sharing"",""งบพรบ!IE16"")"),48400)</f>
        <v>48400</v>
      </c>
      <c r="M380" s="224">
        <f ca="1">IFERROR(__xludf.DUMMYFUNCTION("IMPORTRANGE(""https://docs.google.com/spreadsheets/d/1-uDff_7J0KD5mKrp0Vvzr7lt3OU09vwQwhkpOPPYv2Y/edit?usp=sharing"",""งบพรบ!IJ16"")"),48400)</f>
        <v>48400</v>
      </c>
      <c r="N380" s="224">
        <f ca="1">IFERROR(__xludf.DUMMYFUNCTION("IMPORTRANGE(""https://docs.google.com/spreadsheets/d/1-uDff_7J0KD5mKrp0Vvzr7lt3OU09vwQwhkpOPPYv2Y/edit?usp=sharing"",""งบพรบ!IL16"")"),47950)</f>
        <v>47950</v>
      </c>
      <c r="O380" s="224">
        <f ca="1">IF(L380&gt;0,N380*100/L380,0)</f>
        <v>99.070247933884303</v>
      </c>
      <c r="P380" s="224">
        <f ca="1">IF(M380&gt;0,N380*100/M380,0)</f>
        <v>99.070247933884303</v>
      </c>
      <c r="Q380" s="224">
        <f ca="1">IFERROR(__xludf.DUMMYFUNCTION("IMPORTRANGE(""https://docs.google.com/spreadsheets/d/1ItG2mGa2ceCfYo0BwxsXqNm01IGEUdYcSSLTEv9YCik/edit?usp=sharing"",""เบิกจ่ายกองทุน!BW16"")"),125000)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IFERROR(__xludf.DUMMYFUNCTION("IMPORTRANGE(""https://docs.google.com/spreadsheets/d/1ItG2mGa2ceCfYo0BwxsXqNm01IGEUdYcSSLTEv9YCik/edit?usp=sharing"",""เบิกจ่ายกองทุน!BX16"")"),125000)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IFERROR(__xludf.DUMMYFUNCTION("IMPORTRANGE(""https://docs.google.com/spreadsheets/d/1ItG2mGa2ceCfYo0BwxsXqNm01IGEUdYcSSLTEv9YCik/edit?usp=sharing"",""เบิกจ่ายกองทุน!BY16"")"),68580)</f>
        <v>68580</v>
      </c>
      <c r="T380" s="224">
        <f ca="1">IF(Q380&gt;0,S380*100/Q380,0)</f>
        <v>54.863999999999997</v>
      </c>
      <c r="U380" s="224">
        <f ca="1">IF(R380&gt;0,S380*100/R380,0)</f>
        <v>54.863999999999997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833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833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833"/>
      <c r="J383" s="135"/>
      <c r="K383" s="136"/>
      <c r="L383" s="545">
        <f ca="1">IFERROR(__xludf.DUMMYFUNCTION("IMPORTRANGE(""https://docs.google.com/spreadsheets/d/1-uDff_7J0KD5mKrp0Vvzr7lt3OU09vwQwhkpOPPYv2Y/edit?usp=sharing"",""งบพรบ!IH16"")"),0)</f>
        <v>0</v>
      </c>
      <c r="M383" s="224">
        <f ca="1">IFERROR(__xludf.DUMMYFUNCTION("IMPORTRANGE(""https://docs.google.com/spreadsheets/d/1-uDff_7J0KD5mKrp0Vvzr7lt3OU09vwQwhkpOPPYv2Y/edit?usp=sharing"",""งบพรบ!IK16"")"),0)</f>
        <v>0</v>
      </c>
      <c r="N383" s="224">
        <f ca="1">IFERROR(__xludf.DUMMYFUNCTION("IMPORTRANGE(""https://docs.google.com/spreadsheets/d/1-uDff_7J0KD5mKrp0Vvzr7lt3OU09vwQwhkpOPPYv2Y/edit?usp=sharing"",""งบพรบ!IM16"")"),0)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833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646">
        <v>0</v>
      </c>
      <c r="J385" s="184">
        <f ca="1">IFERROR(__xludf.DUMMYFUNCTION("IMPORTRANGE(""https://docs.google.com/spreadsheets/d/1w5rwWK1o49a35cNtocGL0gxDwhFSTZUQu90BiH9_zqM/edit?usp=sharing"",""RTK!H16"")"),209)</f>
        <v>209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646">
        <f ca="1">IFERROR(__xludf.DUMMYFUNCTION("IMPORTRANGE(""https://docs.google.com/spreadsheets/d/1w5rwWK1o49a35cNtocGL0gxDwhFSTZUQu90BiH9_zqM/edit?usp=sharing"",""RTK!G16"")"),2000)</f>
        <v>2000</v>
      </c>
      <c r="J386" s="184">
        <f ca="1">IFERROR(__xludf.DUMMYFUNCTION("IMPORTRANGE(""https://docs.google.com/spreadsheets/d/1w5rwWK1o49a35cNtocGL0gxDwhFSTZUQu90BiH9_zqM/edit?usp=sharing"",""RTK!I16"")"),1029)</f>
        <v>1029</v>
      </c>
      <c r="K386" s="224">
        <f ca="1">IF(I386&gt;0,J386*100/I386,0)</f>
        <v>51.45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832">
        <v>0</v>
      </c>
      <c r="J387" s="559">
        <f ca="1">IFERROR(__xludf.DUMMYFUNCTION("IMPORTRANGE(""https://docs.google.com/spreadsheets/d/1w5rwWK1o49a35cNtocGL0gxDwhFSTZUQu90BiH9_zqM/edit?usp=sharing"",""RTK!L16"")"),0)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832">
        <f ca="1">IFERROR(__xludf.DUMMYFUNCTION("IMPORTRANGE(""https://docs.google.com/spreadsheets/d/1w5rwWK1o49a35cNtocGL0gxDwhFSTZUQu90BiH9_zqM/edit?usp=sharing"",""RTK!K16"")"),0)</f>
        <v>0</v>
      </c>
      <c r="J388" s="559">
        <f ca="1">IFERROR(__xludf.DUMMYFUNCTION("IMPORTRANGE(""https://docs.google.com/spreadsheets/d/1w5rwWK1o49a35cNtocGL0gxDwhFSTZUQu90BiH9_zqM/edit?usp=sharing"",""RTK!M16"")"),0)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831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830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IFERROR(__xludf.DUMMYFUNCTION("IMPORTRANGE(""https://docs.google.com/spreadsheets/d/1ItG2mGa2ceCfYo0BwxsXqNm01IGEUdYcSSLTEv9YCik/edit?usp=sharing"",""เบิกจ่ายกองทุน!CL16"")"),0)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IFERROR(__xludf.DUMMYFUNCTION("IMPORTRANGE(""https://docs.google.com/spreadsheets/d/1ItG2mGa2ceCfYo0BwxsXqNm01IGEUdYcSSLTEv9YCik/edit?usp=sharing"",""เบิกจ่ายกองทุน!CM16"")"),0)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IFERROR(__xludf.DUMMYFUNCTION("IMPORTRANGE(""https://docs.google.com/spreadsheets/d/1ItG2mGa2ceCfYo0BwxsXqNm01IGEUdYcSSLTEv9YCik/edit?usp=sharing"",""เบิกจ่ายกองทุน!CN16"")"),0)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41290</v>
      </c>
      <c r="M413" s="547">
        <f ca="1">M414+M415</f>
        <v>41290</v>
      </c>
      <c r="N413" s="547">
        <f ca="1">N414+N415</f>
        <v>36640</v>
      </c>
      <c r="O413" s="547">
        <f ca="1">IF(L413&gt;0,N413*100/L413,0)</f>
        <v>88.738193267134903</v>
      </c>
      <c r="P413" s="547">
        <f ca="1">IF(M413&gt;0,N413*100/M413,0)</f>
        <v>88.738193267134903</v>
      </c>
      <c r="Q413" s="547">
        <f ca="1">Q414+Q415</f>
        <v>32570</v>
      </c>
      <c r="R413" s="547">
        <f ca="1">R414+R415</f>
        <v>32570</v>
      </c>
      <c r="S413" s="547">
        <f ca="1">S414+S415</f>
        <v>12485</v>
      </c>
      <c r="T413" s="547">
        <f ca="1">IF(Q413&gt;0,S413*100/Q413,0)</f>
        <v>38.332821614983111</v>
      </c>
      <c r="U413" s="547">
        <f ca="1">IF(R413&gt;0,S413*100/R413,0)</f>
        <v>38.332821614983111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41290</v>
      </c>
      <c r="M415" s="224">
        <f ca="1">M418+M421</f>
        <v>41290</v>
      </c>
      <c r="N415" s="224">
        <f ca="1">N418+N421</f>
        <v>36640</v>
      </c>
      <c r="O415" s="224">
        <f ca="1">IF(L415&gt;0,N415*100/L415,0)</f>
        <v>88.738193267134903</v>
      </c>
      <c r="P415" s="224">
        <f ca="1">IF(M415&gt;0,N415*100/M415,0)</f>
        <v>88.738193267134903</v>
      </c>
      <c r="Q415" s="224">
        <f ca="1">Q418+Q421</f>
        <v>32570</v>
      </c>
      <c r="R415" s="224">
        <f ca="1">R418+R421</f>
        <v>32570</v>
      </c>
      <c r="S415" s="224">
        <f ca="1">S418+S421</f>
        <v>12485</v>
      </c>
      <c r="T415" s="224">
        <f ca="1">IF(Q415&gt;0,S415*100/Q415,0)</f>
        <v>38.332821614983111</v>
      </c>
      <c r="U415" s="224">
        <f ca="1">IF(R415&gt;0,S415*100/R415,0)</f>
        <v>38.332821614983111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41290</v>
      </c>
      <c r="M416" s="224">
        <f ca="1">M417+M418</f>
        <v>41290</v>
      </c>
      <c r="N416" s="224">
        <f ca="1">N417+N418</f>
        <v>36640</v>
      </c>
      <c r="O416" s="224">
        <f ca="1">IF(L416&gt;0,N416*100/L416,0)</f>
        <v>88.738193267134903</v>
      </c>
      <c r="P416" s="224">
        <f ca="1">IF(M416&gt;0,N416*100/M416,0)</f>
        <v>88.738193267134903</v>
      </c>
      <c r="Q416" s="224">
        <f ca="1">Q417+Q418</f>
        <v>32570</v>
      </c>
      <c r="R416" s="224">
        <f ca="1">R417+R418</f>
        <v>32570</v>
      </c>
      <c r="S416" s="224">
        <f ca="1">S417+S418</f>
        <v>12485</v>
      </c>
      <c r="T416" s="224">
        <f ca="1">IF(Q416&gt;0,S416*100/Q416,0)</f>
        <v>38.332821614983111</v>
      </c>
      <c r="U416" s="224">
        <f ca="1">IF(R416&gt;0,S416*100/R416,0)</f>
        <v>38.332821614983111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IFERROR(__xludf.DUMMYFUNCTION("IMPORTRANGE(""https://docs.google.com/spreadsheets/d/1-uDff_7J0KD5mKrp0Vvzr7lt3OU09vwQwhkpOPPYv2Y/edit?usp=sharing"",""งบพรบ!IO16"")"),41290)</f>
        <v>41290</v>
      </c>
      <c r="M418" s="224">
        <f ca="1">IFERROR(__xludf.DUMMYFUNCTION("IMPORTRANGE(""https://docs.google.com/spreadsheets/d/1-uDff_7J0KD5mKrp0Vvzr7lt3OU09vwQwhkpOPPYv2Y/edit?usp=sharing"",""งบพรบ!IT16"")"),41290)</f>
        <v>41290</v>
      </c>
      <c r="N418" s="224">
        <f ca="1">IFERROR(__xludf.DUMMYFUNCTION("IMPORTRANGE(""https://docs.google.com/spreadsheets/d/1-uDff_7J0KD5mKrp0Vvzr7lt3OU09vwQwhkpOPPYv2Y/edit?usp=sharing"",""งบพรบ!IV16"")"),36640)</f>
        <v>36640</v>
      </c>
      <c r="O418" s="224">
        <f ca="1">IF(L418&gt;0,N418*100/L418,0)</f>
        <v>88.738193267134903</v>
      </c>
      <c r="P418" s="224">
        <f ca="1">IF(M418&gt;0,N418*100/M418,0)</f>
        <v>88.738193267134903</v>
      </c>
      <c r="Q418" s="224">
        <f ca="1">IFERROR(__xludf.DUMMYFUNCTION("IMPORTRANGE(""https://docs.google.com/spreadsheets/d/1ItG2mGa2ceCfYo0BwxsXqNm01IGEUdYcSSLTEv9YCik/edit?usp=sharing"",""เบิกจ่ายกองทุน!BZ16"")"),32570)</f>
        <v>32570</v>
      </c>
      <c r="R418" s="224">
        <f ca="1">IFERROR(__xludf.DUMMYFUNCTION("IMPORTRANGE(""https://docs.google.com/spreadsheets/d/1ItG2mGa2ceCfYo0BwxsXqNm01IGEUdYcSSLTEv9YCik/edit?usp=sharing"",""เบิกจ่ายกองทุน!CA16"")"),32570)</f>
        <v>32570</v>
      </c>
      <c r="S418" s="224">
        <f ca="1">IFERROR(__xludf.DUMMYFUNCTION("IMPORTRANGE(""https://docs.google.com/spreadsheets/d/1ItG2mGa2ceCfYo0BwxsXqNm01IGEUdYcSSLTEv9YCik/edit?usp=sharing"",""เบิกจ่ายกองทุน!CB16"")"),12485)</f>
        <v>12485</v>
      </c>
      <c r="T418" s="224">
        <f ca="1">IF(Q418&gt;0,S418*100/Q418,0)</f>
        <v>38.332821614983111</v>
      </c>
      <c r="U418" s="224">
        <f ca="1">IF(R418&gt;0,S418*100/R418,0)</f>
        <v>38.332821614983111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IFERROR(__xludf.DUMMYFUNCTION("IMPORTRANGE(""https://docs.google.com/spreadsheets/d/1-uDff_7J0KD5mKrp0Vvzr7lt3OU09vwQwhkpOPPYv2Y/edit?usp=sharing"",""งบพรบ!IR16"")"),0)</f>
        <v>0</v>
      </c>
      <c r="M421" s="224">
        <f ca="1">IFERROR(__xludf.DUMMYFUNCTION("IMPORTRANGE(""https://docs.google.com/spreadsheets/d/1-uDff_7J0KD5mKrp0Vvzr7lt3OU09vwQwhkpOPPYv2Y/edit?usp=sharing"",""งบพรบ!IU16"")"),0)</f>
        <v>0</v>
      </c>
      <c r="N421" s="224">
        <f ca="1">IFERROR(__xludf.DUMMYFUNCTION("IMPORTRANGE(""https://docs.google.com/spreadsheets/d/1-uDff_7J0KD5mKrp0Vvzr7lt3OU09vwQwhkpOPPYv2Y/edit?usp=sharing"",""งบพรบ!IW16"")"),0)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IFERROR(__xludf.DUMMYFUNCTION("IMPORTRANGE(""https://docs.google.com/spreadsheets/d/1eHaY18a8A9IcSdp1K8H6x8fbOy06t2VsZHhMHf-1x7Y/edit?usp=sharing"",""แผน!HJ16"")"),0)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IFERROR(__xludf.DUMMYFUNCTION("IMPORTRANGE(""https://docs.google.com/spreadsheets/d/1eHaY18a8A9IcSdp1K8H6x8fbOy06t2VsZHhMHf-1x7Y/edit?usp=sharing"",""แผน!HK16"")"),0)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IFERROR(__xludf.DUMMYFUNCTION("IMPORTRANGE(""https://docs.google.com/spreadsheets/d/1eHaY18a8A9IcSdp1K8H6x8fbOy06t2VsZHhMHf-1x7Y/edit?usp=sharing"",""แผน!HJ16"")"),0)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IFERROR(__xludf.DUMMYFUNCTION("IMPORTRANGE(""https://docs.google.com/spreadsheets/d/1eHaY18a8A9IcSdp1K8H6x8fbOy06t2VsZHhMHf-1x7Y/edit?usp=sharing"",""แผน!HK16"")"),0)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IFERROR(__xludf.DUMMYFUNCTION("IMPORTRANGE(""https://docs.google.com/spreadsheets/d/1eHaY18a8A9IcSdp1K8H6x8fbOy06t2VsZHhMHf-1x7Y/edit?usp=sharing"",""แผน!HJ16"")"),0)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IFERROR(__xludf.DUMMYFUNCTION("IMPORTRANGE(""https://docs.google.com/spreadsheets/d/1eHaY18a8A9IcSdp1K8H6x8fbOy06t2VsZHhMHf-1x7Y/edit?usp=sharing"",""แผน!HK16"")"),0)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486.83</v>
      </c>
      <c r="J456" s="648">
        <f>J457</f>
        <v>487</v>
      </c>
      <c r="K456" s="578">
        <f ca="1">IF(I456&gt;0,J456*100/I456,0)</f>
        <v>100.03491978719471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IFERROR(__xludf.DUMMYFUNCTION("IMPORTRANGE(""https://docs.google.com/spreadsheets/d/1eHaY18a8A9IcSdp1K8H6x8fbOy06t2VsZHhMHf-1x7Y/edit?usp=sharing"",""แผน!HL16"")"),486.83)</f>
        <v>486.83</v>
      </c>
      <c r="J457" s="650">
        <f>J459+J467+J473</f>
        <v>487</v>
      </c>
      <c r="K457" s="547">
        <f ca="1">IF(I457&gt;0,J457*100/I457,0)</f>
        <v>100.03491978719471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IFERROR(__xludf.DUMMYFUNCTION("IMPORTRANGE(""https://docs.google.com/spreadsheets/d/1eHaY18a8A9IcSdp1K8H6x8fbOy06t2VsZHhMHf-1x7Y/edit?usp=sharing"",""แผน!HM16"")"),119)</f>
        <v>119</v>
      </c>
      <c r="J458" s="650">
        <f>J460+J468+J474</f>
        <v>119</v>
      </c>
      <c r="K458" s="547">
        <f ca="1">IF(I458&gt;0,J458*100/I458,0)</f>
        <v>100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436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111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164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43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272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68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51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8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IFERROR(__xludf.DUMMYFUNCTION("IMPORTRANGE(""https://docs.google.com/spreadsheets/d/1-uDff_7J0KD5mKrp0Vvzr7lt3OU09vwQwhkpOPPYv2Y/edit?usp=sharing"",""งบพรบ!HU16"")"),0)</f>
        <v>0</v>
      </c>
      <c r="M498" s="224">
        <f ca="1">IFERROR(__xludf.DUMMYFUNCTION("IMPORTRANGE(""https://docs.google.com/spreadsheets/d/1-uDff_7J0KD5mKrp0Vvzr7lt3OU09vwQwhkpOPPYv2Y/edit?usp=sharing"",""งบพรบ!HZ16"")"),0)</f>
        <v>0</v>
      </c>
      <c r="N498" s="224">
        <f ca="1">IFERROR(__xludf.DUMMYFUNCTION("IMPORTRANGE(""https://docs.google.com/spreadsheets/d/1-uDff_7J0KD5mKrp0Vvzr7lt3OU09vwQwhkpOPPYv2Y/edit?usp=sharing"",""งบพรบ!IB16"")"),0)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IFERROR(__xludf.DUMMYFUNCTION("IMPORTRANGE(""https://docs.google.com/spreadsheets/d/1ItG2mGa2ceCfYo0BwxsXqNm01IGEUdYcSSLTEv9YCik/edit?usp=sharing"",""เบิกจ่ายกองทุน!AF16"")"),0)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IFERROR(__xludf.DUMMYFUNCTION("IMPORTRANGE(""https://docs.google.com/spreadsheets/d/1-uDff_7J0KD5mKrp0Vvzr7lt3OU09vwQwhkpOPPYv2Y/edit?usp=sharing"",""งบพรบ!HX16"")"),0)</f>
        <v>0</v>
      </c>
      <c r="M501" s="224">
        <f ca="1">IFERROR(__xludf.DUMMYFUNCTION("IMPORTRANGE(""https://docs.google.com/spreadsheets/d/1-uDff_7J0KD5mKrp0Vvzr7lt3OU09vwQwhkpOPPYv2Y/edit?usp=sharing"",""งบพรบ!IA16"")"),0)</f>
        <v>0</v>
      </c>
      <c r="N501" s="224">
        <f ca="1">IFERROR(__xludf.DUMMYFUNCTION("IMPORTRANGE(""https://docs.google.com/spreadsheets/d/1-uDff_7J0KD5mKrp0Vvzr7lt3OU09vwQwhkpOPPYv2Y/edit?usp=sharing"",""งบพรบ!IC16"")"),0)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IFERROR(__xludf.DUMMYFUNCTION("IMPORTRANGE(""https://docs.google.com/spreadsheets/d/1eHaY18a8A9IcSdp1K8H6x8fbOy06t2VsZHhMHf-1x7Y/edit?usp=sharing"",""แผน!GX16"")"),0)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IFERROR(__xludf.DUMMYFUNCTION("IMPORTRANGE(""https://docs.google.com/spreadsheets/d/1eHaY18a8A9IcSdp1K8H6x8fbOy06t2VsZHhMHf-1x7Y/edit?usp=sharing"",""แผน!GY16"")"),0)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IFERROR(__xludf.DUMMYFUNCTION("IMPORTRANGE(""https://docs.google.com/spreadsheets/d/1eHaY18a8A9IcSdp1K8H6x8fbOy06t2VsZHhMHf-1x7Y/edit?usp=sharing"",""แผน!GZ16"")"),0)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IFERROR(__xludf.DUMMYFUNCTION("IMPORTRANGE(""https://docs.google.com/spreadsheets/d/1eHaY18a8A9IcSdp1K8H6x8fbOy06t2VsZHhMHf-1x7Y/edit?usp=sharing"",""แผน!HA16"")"),0)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IFERROR(__xludf.DUMMYFUNCTION("IMPORTRANGE(""https://docs.google.com/spreadsheets/d/1eHaY18a8A9IcSdp1K8H6x8fbOy06t2VsZHhMHf-1x7Y/edit?usp=sharing"",""แผน!HB16"")"),0)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IFERROR(__xludf.DUMMYFUNCTION("IMPORTRANGE(""https://docs.google.com/spreadsheets/d/1eHaY18a8A9IcSdp1K8H6x8fbOy06t2VsZHhMHf-1x7Y/edit?usp=sharing"",""แผน!HC16"")"),0)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IFERROR(__xludf.DUMMYFUNCTION("IMPORTRANGE(""https://docs.google.com/spreadsheets/d/1-uDff_7J0KD5mKrp0Vvzr7lt3OU09vwQwhkpOPPYv2Y/edit?usp=sharing"",""งบพรบ!FM16"")"),0)</f>
        <v>0</v>
      </c>
      <c r="M518" s="224">
        <f ca="1">IFERROR(__xludf.DUMMYFUNCTION("IMPORTRANGE(""https://docs.google.com/spreadsheets/d/1-uDff_7J0KD5mKrp0Vvzr7lt3OU09vwQwhkpOPPYv2Y/edit?usp=sharing"",""งบพรบ!FR16"")"),0)</f>
        <v>0</v>
      </c>
      <c r="N518" s="224">
        <f ca="1">IFERROR(__xludf.DUMMYFUNCTION("IMPORTRANGE(""https://docs.google.com/spreadsheets/d/1-uDff_7J0KD5mKrp0Vvzr7lt3OU09vwQwhkpOPPYv2Y/edit?usp=sharing"",""งบพรบ!FT16"")"),0)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IFERROR(__xludf.DUMMYFUNCTION("IMPORTRANGE(""https://docs.google.com/spreadsheets/d/1-uDff_7J0KD5mKrp0Vvzr7lt3OU09vwQwhkpOPPYv2Y/edit?usp=sharing"",""งบพรบ!FP16"")"),0)</f>
        <v>0</v>
      </c>
      <c r="M521" s="224">
        <f ca="1">IFERROR(__xludf.DUMMYFUNCTION("IMPORTRANGE(""https://docs.google.com/spreadsheets/d/1-uDff_7J0KD5mKrp0Vvzr7lt3OU09vwQwhkpOPPYv2Y/edit?usp=sharing"",""งบพรบ!FS16"")"),0)</f>
        <v>0</v>
      </c>
      <c r="N521" s="224">
        <f ca="1">IFERROR(__xludf.DUMMYFUNCTION("IMPORTRANGE(""https://docs.google.com/spreadsheets/d/1-uDff_7J0KD5mKrp0Vvzr7lt3OU09vwQwhkpOPPYv2Y/edit?usp=sharing"",""งบพรบ!FU16"")"),0)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IFERROR(__xludf.DUMMYFUNCTION("IMPORTRANGE(""https://docs.google.com/spreadsheets/d/1-uDff_7J0KD5mKrp0Vvzr7lt3OU09vwQwhkpOPPYv2Y/edit?usp=sharing"",""งบพรบ!FW16"")"),0)</f>
        <v>0</v>
      </c>
      <c r="M539" s="224">
        <f ca="1">IFERROR(__xludf.DUMMYFUNCTION("IMPORTRANGE(""https://docs.google.com/spreadsheets/d/1-uDff_7J0KD5mKrp0Vvzr7lt3OU09vwQwhkpOPPYv2Y/edit?usp=sharing"",""งบพรบ!GB16"")"),0)</f>
        <v>0</v>
      </c>
      <c r="N539" s="224">
        <f ca="1">IFERROR(__xludf.DUMMYFUNCTION("IMPORTRANGE(""https://docs.google.com/spreadsheets/d/1-uDff_7J0KD5mKrp0Vvzr7lt3OU09vwQwhkpOPPYv2Y/edit?usp=sharing"",""งบพรบ!GD16"")"),0)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IFERROR(__xludf.DUMMYFUNCTION("IMPORTRANGE(""https://docs.google.com/spreadsheets/d/1-uDff_7J0KD5mKrp0Vvzr7lt3OU09vwQwhkpOPPYv2Y/edit?usp=sharing"",""งบพรบ!FZ16"")"),0)</f>
        <v>0</v>
      </c>
      <c r="M542" s="224">
        <f ca="1">IFERROR(__xludf.DUMMYFUNCTION("IMPORTRANGE(""https://docs.google.com/spreadsheets/d/1-uDff_7J0KD5mKrp0Vvzr7lt3OU09vwQwhkpOPPYv2Y/edit?usp=sharing"",""งบพรบ!GC16"")"),0)</f>
        <v>0</v>
      </c>
      <c r="N542" s="224">
        <f ca="1">IFERROR(__xludf.DUMMYFUNCTION("IMPORTRANGE(""https://docs.google.com/spreadsheets/d/1-uDff_7J0KD5mKrp0Vvzr7lt3OU09vwQwhkpOPPYv2Y/edit?usp=sharing"",""งบพรบ!GE16"")"),0)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IFERROR(__xludf.DUMMYFUNCTION("IMPORTRANGE(""https://docs.google.com/spreadsheets/d/1-uDff_7J0KD5mKrp0Vvzr7lt3OU09vwQwhkpOPPYv2Y/edit?usp=sharing"",""งบพรบ!GG16"")"),0)</f>
        <v>0</v>
      </c>
      <c r="M560" s="224">
        <f ca="1">IFERROR(__xludf.DUMMYFUNCTION("IMPORTRANGE(""https://docs.google.com/spreadsheets/d/1-uDff_7J0KD5mKrp0Vvzr7lt3OU09vwQwhkpOPPYv2Y/edit?usp=sharing"",""งบพรบ!GL16"")"),0)</f>
        <v>0</v>
      </c>
      <c r="N560" s="224">
        <f ca="1">IFERROR(__xludf.DUMMYFUNCTION("IMPORTRANGE(""https://docs.google.com/spreadsheets/d/1-uDff_7J0KD5mKrp0Vvzr7lt3OU09vwQwhkpOPPYv2Y/edit?usp=sharing"",""งบพรบ!GN16"")"),0)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IFERROR(__xludf.DUMMYFUNCTION("IMPORTRANGE(""https://docs.google.com/spreadsheets/d/1-uDff_7J0KD5mKrp0Vvzr7lt3OU09vwQwhkpOPPYv2Y/edit?usp=sharing"",""งบพรบ!GJ16"")"),0)</f>
        <v>0</v>
      </c>
      <c r="M563" s="224">
        <f ca="1">IFERROR(__xludf.DUMMYFUNCTION("IMPORTRANGE(""https://docs.google.com/spreadsheets/d/1-uDff_7J0KD5mKrp0Vvzr7lt3OU09vwQwhkpOPPYv2Y/edit?usp=sharing"",""งบพรบ!GM16"")"),0)</f>
        <v>0</v>
      </c>
      <c r="N563" s="224">
        <f ca="1">IFERROR(__xludf.DUMMYFUNCTION("IMPORTRANGE(""https://docs.google.com/spreadsheets/d/1-uDff_7J0KD5mKrp0Vvzr7lt3OU09vwQwhkpOPPYv2Y/edit?usp=sharing"",""งบพรบ!GO16"")"),0)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IFERROR(__xludf.DUMMYFUNCTION("IMPORTRANGE(""https://docs.google.com/spreadsheets/d/1-uDff_7J0KD5mKrp0Vvzr7lt3OU09vwQwhkpOPPYv2Y/edit?usp=sharing"",""งบพรบ!GQ16"")"),0)</f>
        <v>0</v>
      </c>
      <c r="M581" s="224">
        <f ca="1">IFERROR(__xludf.DUMMYFUNCTION("IMPORTRANGE(""https://docs.google.com/spreadsheets/d/1-uDff_7J0KD5mKrp0Vvzr7lt3OU09vwQwhkpOPPYv2Y/edit?usp=sharing"",""งบพรบ!GV16"")"),0)</f>
        <v>0</v>
      </c>
      <c r="N581" s="224">
        <f ca="1">IFERROR(__xludf.DUMMYFUNCTION("IMPORTRANGE(""https://docs.google.com/spreadsheets/d/1-uDff_7J0KD5mKrp0Vvzr7lt3OU09vwQwhkpOPPYv2Y/edit?usp=sharing"",""งบพรบ!GX16"")"),0)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IFERROR(__xludf.DUMMYFUNCTION("IMPORTRANGE(""https://docs.google.com/spreadsheets/d/1-uDff_7J0KD5mKrp0Vvzr7lt3OU09vwQwhkpOPPYv2Y/edit?usp=sharing"",""งบพรบ!GT16"")"),0)</f>
        <v>0</v>
      </c>
      <c r="M584" s="224">
        <f ca="1">IFERROR(__xludf.DUMMYFUNCTION("IMPORTRANGE(""https://docs.google.com/spreadsheets/d/1-uDff_7J0KD5mKrp0Vvzr7lt3OU09vwQwhkpOPPYv2Y/edit?usp=sharing"",""งบพรบ!GW16"")"),0)</f>
        <v>0</v>
      </c>
      <c r="N584" s="224">
        <f ca="1">IFERROR(__xludf.DUMMYFUNCTION("IMPORTRANGE(""https://docs.google.com/spreadsheets/d/1-uDff_7J0KD5mKrp0Vvzr7lt3OU09vwQwhkpOPPYv2Y/edit?usp=sharing"",""งบพรบ!GY16"")"),0)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10850</v>
      </c>
      <c r="M599" s="715">
        <f ca="1">M600+M601</f>
        <v>10850</v>
      </c>
      <c r="N599" s="715">
        <f ca="1">N600+N601</f>
        <v>5500</v>
      </c>
      <c r="O599" s="715">
        <f ca="1">IF(L599&gt;0,N599*100/L599,0)</f>
        <v>50.691244239631338</v>
      </c>
      <c r="P599" s="715">
        <f ca="1">IF(M599&gt;0,N599*100/M599,0)</f>
        <v>50.691244239631338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10850</v>
      </c>
      <c r="M601" s="558">
        <f ca="1">M604+M607</f>
        <v>10850</v>
      </c>
      <c r="N601" s="558">
        <f ca="1">N604+N607</f>
        <v>5500</v>
      </c>
      <c r="O601" s="558">
        <f ca="1">IF(L601&gt;0,N601*100/L601,0)</f>
        <v>50.691244239631338</v>
      </c>
      <c r="P601" s="558">
        <f ca="1">IF(M601&gt;0,N601*100/M601,0)</f>
        <v>50.691244239631338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9.5" x14ac:dyDescent="0.3">
      <c r="A602" s="401"/>
      <c r="B602" s="402"/>
      <c r="C602" s="402"/>
      <c r="D602" s="404" t="s">
        <v>22</v>
      </c>
      <c r="E602" s="411"/>
      <c r="F602" s="411"/>
      <c r="G602" s="412"/>
      <c r="H602" s="405" t="s">
        <v>14</v>
      </c>
      <c r="I602" s="416"/>
      <c r="J602" s="416"/>
      <c r="K602" s="417"/>
      <c r="L602" s="706">
        <f ca="1">L603+L604</f>
        <v>10850</v>
      </c>
      <c r="M602" s="558">
        <f ca="1">M603+M604</f>
        <v>10850</v>
      </c>
      <c r="N602" s="558">
        <f ca="1">N603+N604</f>
        <v>5500</v>
      </c>
      <c r="O602" s="558">
        <f ca="1">IF(L602&gt;0,N602*100/L602,0)</f>
        <v>50.691244239631338</v>
      </c>
      <c r="P602" s="558">
        <f ca="1">IF(M602&gt;0,N602*100/M602,0)</f>
        <v>50.691244239631338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IFERROR(__xludf.DUMMYFUNCTION("IMPORTRANGE(""https://docs.google.com/spreadsheets/d/1-uDff_7J0KD5mKrp0Vvzr7lt3OU09vwQwhkpOPPYv2Y/edit?usp=sharing"",""งบพรบ!HK16"")"),10850)</f>
        <v>10850</v>
      </c>
      <c r="M604" s="558">
        <f ca="1">IFERROR(__xludf.DUMMYFUNCTION("IMPORTRANGE(""https://docs.google.com/spreadsheets/d/1-uDff_7J0KD5mKrp0Vvzr7lt3OU09vwQwhkpOPPYv2Y/edit?usp=sharing"",""งบพรบ!HP16"")"),10850)</f>
        <v>10850</v>
      </c>
      <c r="N604" s="558">
        <f ca="1">IFERROR(__xludf.DUMMYFUNCTION("IMPORTRANGE(""https://docs.google.com/spreadsheets/d/1-uDff_7J0KD5mKrp0Vvzr7lt3OU09vwQwhkpOPPYv2Y/edit?usp=sharing"",""งบพรบ!HR16"")"),5500)</f>
        <v>5500</v>
      </c>
      <c r="O604" s="558">
        <f ca="1">IF(L604&gt;0,N604*100/L604,0)</f>
        <v>50.691244239631338</v>
      </c>
      <c r="P604" s="558">
        <f ca="1">IF(M604&gt;0,N604*100/M604,0)</f>
        <v>50.691244239631338</v>
      </c>
      <c r="Q604" s="558">
        <f ca="1">IFERROR(__xludf.DUMMYFUNCTION("IMPORTRANGE(""https://docs.google.com/spreadsheets/d/1ItG2mGa2ceCfYo0BwxsXqNm01IGEUdYcSSLTEv9YCik/edit?usp=sharing"",""เบิกจ่ายกองทุน!AV16"")"),0)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IFERROR(__xludf.DUMMYFUNCTION("IMPORTRANGE(""https://docs.google.com/spreadsheets/d/1ItG2mGa2ceCfYo0BwxsXqNm01IGEUdYcSSLTEv9YCik/edit?usp=sharing"",""เบิกจ่ายกองทุน!AW16"")"),0)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IFERROR(__xludf.DUMMYFUNCTION("IMPORTRANGE(""https://docs.google.com/spreadsheets/d/1ItG2mGa2ceCfYo0BwxsXqNm01IGEUdYcSSLTEv9YCik/edit?usp=sharing"",""เบิกจ่ายกองทุน!AX16"")"),0)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9.5" x14ac:dyDescent="0.3">
      <c r="A605" s="401"/>
      <c r="B605" s="402"/>
      <c r="C605" s="402"/>
      <c r="D605" s="404" t="s">
        <v>23</v>
      </c>
      <c r="E605" s="402"/>
      <c r="F605" s="411"/>
      <c r="G605" s="412"/>
      <c r="H605" s="418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IFERROR(__xludf.DUMMYFUNCTION("IMPORTRANGE(""https://docs.google.com/spreadsheets/d/1-uDff_7J0KD5mKrp0Vvzr7lt3OU09vwQwhkpOPPYv2Y/edit?usp=sharing"",""งบพรบ!HN16"")"),0)</f>
        <v>0</v>
      </c>
      <c r="M607" s="558">
        <f ca="1">IFERROR(__xludf.DUMMYFUNCTION("IMPORTRANGE(""https://docs.google.com/spreadsheets/d/1-uDff_7J0KD5mKrp0Vvzr7lt3OU09vwQwhkpOPPYv2Y/edit?usp=sharing"",""งบพรบ!HQ16"")"),0)</f>
        <v>0</v>
      </c>
      <c r="N607" s="558">
        <f ca="1">IFERROR(__xludf.DUMMYFUNCTION("IMPORTRANGE(""https://docs.google.com/spreadsheets/d/1-uDff_7J0KD5mKrp0Vvzr7lt3OU09vwQwhkpOPPYv2Y/edit?usp=sharing"",""งบพรบ!HS16"")"),0)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IFERROR(__xludf.DUMMYFUNCTION("IMPORTRANGE(""https://docs.google.com/spreadsheets/d/1ItG2mGa2ceCfYo0BwxsXqNm01IGEUdYcSSLTEv9YCik/edit?usp=sharing"",""เบิกจ่ายกองทุน!AY16"")"),0)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IFERROR(__xludf.DUMMYFUNCTION("IMPORTRANGE(""https://docs.google.com/spreadsheets/d/1ItG2mGa2ceCfYo0BwxsXqNm01IGEUdYcSSLTEv9YCik/edit?usp=sharing"",""เบิกจ่ายกองทุน!AZ16"")"),0)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IFERROR(__xludf.DUMMYFUNCTION("IMPORTRANGE(""https://docs.google.com/spreadsheets/d/1ItG2mGa2ceCfYo0BwxsXqNm01IGEUdYcSSLTEv9YCik/edit?usp=sharing"",""เบิกจ่ายกองทุน!BA16"")"),0)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1625</v>
      </c>
      <c r="R616" s="547">
        <f ca="1">R617+R618</f>
        <v>1625</v>
      </c>
      <c r="S616" s="547">
        <f ca="1">S617+S618</f>
        <v>1489</v>
      </c>
      <c r="T616" s="547">
        <f ca="1">IF(Q616&gt;0,S616*100/Q616,0)</f>
        <v>91.630769230769232</v>
      </c>
      <c r="U616" s="547">
        <f ca="1">IF(R616&gt;0,S616*100/R616,0)</f>
        <v>91.630769230769232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1625</v>
      </c>
      <c r="R618" s="224">
        <f ca="1">R621+R624</f>
        <v>1625</v>
      </c>
      <c r="S618" s="224">
        <f ca="1">S621+S624</f>
        <v>1489</v>
      </c>
      <c r="T618" s="224">
        <f ca="1">IF(Q618&gt;0,S618*100/Q618,0)</f>
        <v>91.630769230769232</v>
      </c>
      <c r="U618" s="224">
        <f ca="1">IF(R618&gt;0,S618*100/R618,0)</f>
        <v>91.630769230769232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1625</v>
      </c>
      <c r="R619" s="224">
        <f ca="1">R620+R621</f>
        <v>1625</v>
      </c>
      <c r="S619" s="224">
        <f ca="1">S620+S621</f>
        <v>1489</v>
      </c>
      <c r="T619" s="224">
        <f ca="1">IF(Q619&gt;0,S619*100/Q619,0)</f>
        <v>91.630769230769232</v>
      </c>
      <c r="U619" s="224">
        <f ca="1">IF(R619&gt;0,S619*100/R619,0)</f>
        <v>91.630769230769232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IFERROR(__xludf.DUMMYFUNCTION("IMPORTRANGE(""https://docs.google.com/spreadsheets/d/1ItG2mGa2ceCfYo0BwxsXqNm01IGEUdYcSSLTEv9YCik/edit?usp=sharing"",""เบิกจ่ายกองทุน!F16"")"),1625)</f>
        <v>1625</v>
      </c>
      <c r="R621" s="224">
        <f ca="1">IFERROR(__xludf.DUMMYFUNCTION("IMPORTRANGE(""https://docs.google.com/spreadsheets/d/1ItG2mGa2ceCfYo0BwxsXqNm01IGEUdYcSSLTEv9YCik/edit?usp=sharing"",""เบิกจ่ายกองทุน!G16"")"),1625)</f>
        <v>1625</v>
      </c>
      <c r="S621" s="224">
        <f ca="1">IFERROR(__xludf.DUMMYFUNCTION("IMPORTRANGE(""https://docs.google.com/spreadsheets/d/1ItG2mGa2ceCfYo0BwxsXqNm01IGEUdYcSSLTEv9YCik/edit?usp=sharing"",""เบิกจ่ายกองทุน!H16"")"),1489)</f>
        <v>1489</v>
      </c>
      <c r="T621" s="224">
        <f ca="1">IF(Q621&gt;0,S621*100/Q621,0)</f>
        <v>91.630769230769232</v>
      </c>
      <c r="U621" s="224">
        <f ca="1">IF(R621&gt;0,S621*100/R621,0)</f>
        <v>91.630769230769232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IFERROR(__xludf.DUMMYFUNCTION("IMPORTRANGE(""https://docs.google.com/spreadsheets/d/1eHaY18a8A9IcSdp1K8H6x8fbOy06t2VsZHhMHf-1x7Y/edit?usp=sharing"",""แผน!ID16"")"),0)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IFERROR(__xludf.DUMMYFUNCTION("IMPORTRANGE(""https://docs.google.com/spreadsheets/d/1eHaY18a8A9IcSdp1K8H6x8fbOy06t2VsZHhMHf-1x7Y/edit?usp=sharing"",""แผน!IC16"")"),0)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IFERROR(__xludf.DUMMYFUNCTION("IMPORTRANGE(""https://docs.google.com/spreadsheets/d/1eHaY18a8A9IcSdp1K8H6x8fbOy06t2VsZHhMHf-1x7Y/edit?usp=sharing"",""แผน!IC16"")"),0)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IFERROR(__xludf.DUMMYFUNCTION("IMPORTRANGE(""https://docs.google.com/spreadsheets/d/1eHaY18a8A9IcSdp1K8H6x8fbOy06t2VsZHhMHf-1x7Y/edit?usp=sharing"",""แผน!IE16"")"),0)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7060</v>
      </c>
      <c r="R642" s="547">
        <f ca="1">R643+R644</f>
        <v>7060</v>
      </c>
      <c r="S642" s="547">
        <f ca="1">S643+S644</f>
        <v>3040</v>
      </c>
      <c r="T642" s="547">
        <f ca="1">IF(Q642&gt;0,S642*100/Q642,0)</f>
        <v>43.059490084985839</v>
      </c>
      <c r="U642" s="547">
        <f ca="1">IF(R642&gt;0,S642*100/R642,0)</f>
        <v>43.059490084985839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7060</v>
      </c>
      <c r="R644" s="224">
        <f ca="1">R647+R650</f>
        <v>7060</v>
      </c>
      <c r="S644" s="224">
        <f ca="1">S647+S650</f>
        <v>3040</v>
      </c>
      <c r="T644" s="224">
        <f ca="1">IF(Q644&gt;0,S644*100/Q644,0)</f>
        <v>43.059490084985839</v>
      </c>
      <c r="U644" s="224">
        <f ca="1">IF(R644&gt;0,S644*100/R644,0)</f>
        <v>43.059490084985839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7060</v>
      </c>
      <c r="R645" s="224">
        <f ca="1">R646+R647</f>
        <v>7060</v>
      </c>
      <c r="S645" s="224">
        <f ca="1">S646+S647</f>
        <v>3040</v>
      </c>
      <c r="T645" s="224">
        <f ca="1">IF(Q645&gt;0,S645*100/Q645,0)</f>
        <v>43.059490084985839</v>
      </c>
      <c r="U645" s="224">
        <f ca="1">IF(R645&gt;0,S645*100/R645,0)</f>
        <v>43.059490084985839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IFERROR(__xludf.DUMMYFUNCTION("IMPORTRANGE(""https://docs.google.com/spreadsheets/d/1ItG2mGa2ceCfYo0BwxsXqNm01IGEUdYcSSLTEv9YCik/edit?usp=sharing"",""เบิกจ่ายกองทุน!I16"")"),7060)</f>
        <v>7060</v>
      </c>
      <c r="R647" s="224">
        <f ca="1">IFERROR(__xludf.DUMMYFUNCTION("IMPORTRANGE(""https://docs.google.com/spreadsheets/d/1ItG2mGa2ceCfYo0BwxsXqNm01IGEUdYcSSLTEv9YCik/edit?usp=sharing"",""เบิกจ่ายกองทุน!J16"")"),7060)</f>
        <v>7060</v>
      </c>
      <c r="S647" s="224">
        <f ca="1">IFERROR(__xludf.DUMMYFUNCTION("IMPORTRANGE(""https://docs.google.com/spreadsheets/d/1ItG2mGa2ceCfYo0BwxsXqNm01IGEUdYcSSLTEv9YCik/edit?usp=sharing"",""เบิกจ่ายกองทุน!K16"")"),3040)</f>
        <v>3040</v>
      </c>
      <c r="T647" s="224">
        <f ca="1">IF(Q647&gt;0,S647*100/Q647,0)</f>
        <v>43.059490084985839</v>
      </c>
      <c r="U647" s="224">
        <f ca="1">IF(R647&gt;0,S647*100/R647,0)</f>
        <v>43.059490084985839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IFERROR(__xludf.DUMMYFUNCTION("IMPORTRANGE(""https://docs.google.com/spreadsheets/d/1eHaY18a8A9IcSdp1K8H6x8fbOy06t2VsZHhMHf-1x7Y/edit?usp=sharing"",""แผน!IF16"")"),0)</f>
        <v>0</v>
      </c>
      <c r="J652" s="184">
        <f ca="1">IFERROR(__xludf.DUMMYFUNCTION("IMPORTRANGE(""https://docs.google.com/spreadsheets/d/1tdoBKaGub7dwA3U6UFTqxio9LNnvDCQjHKmttSEBsFQ/edit?usp=sharing"",""จัดที่ดิน!AU16"")"),0)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IFERROR(__xludf.DUMMYFUNCTION("IMPORTRANGE(""https://docs.google.com/spreadsheets/d/1eHaY18a8A9IcSdp1K8H6x8fbOy06t2VsZHhMHf-1x7Y/edit?usp=sharing"",""แผน!IG16"")"),43)</f>
        <v>43</v>
      </c>
      <c r="J653" s="184">
        <f ca="1">IFERROR(__xludf.DUMMYFUNCTION("IMPORTRANGE(""https://docs.google.com/spreadsheets/d/1tdoBKaGub7dwA3U6UFTqxio9LNnvDCQjHKmttSEBsFQ/edit?usp=sharing"",""จัดที่ดิน!AW16"")"),40)</f>
        <v>40</v>
      </c>
      <c r="K653" s="224">
        <f ca="1">IF(I653&gt;0,J653*100/I653,0)</f>
        <v>93.023255813953483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IFERROR(__xludf.DUMMYFUNCTION("IMPORTRANGE(""https://docs.google.com/spreadsheets/d/1eHaY18a8A9IcSdp1K8H6x8fbOy06t2VsZHhMHf-1x7Y/edit?usp=sharing"",""แผน!IH16"")"),0)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IFERROR(__xludf.DUMMYFUNCTION("IMPORTRANGE(""https://docs.google.com/spreadsheets/d/1eHaY18a8A9IcSdp1K8H6x8fbOy06t2VsZHhMHf-1x7Y/edit?usp=sharing"",""แผน!II16"")"),0)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IFERROR(__xludf.DUMMYFUNCTION("IMPORTRANGE(""https://docs.google.com/spreadsheets/d/1eHaY18a8A9IcSdp1K8H6x8fbOy06t2VsZHhMHf-1x7Y/edit?usp=sharing"",""แผน!IJ16"")"),0)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IFERROR(__xludf.DUMMYFUNCTION("IMPORTRANGE(""https://docs.google.com/spreadsheets/d/1eHaY18a8A9IcSdp1K8H6x8fbOy06t2VsZHhMHf-1x7Y/edit?usp=sharing"",""แผน!IK16"")"),0)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IFERROR(__xludf.DUMMYFUNCTION("IMPORTRANGE(""https://docs.google.com/spreadsheets/d/1tdoBKaGub7dwA3U6UFTqxio9LNnvDCQjHKmttSEBsFQ/edit?usp=sharing"",""จัดที่ดิน!AY16"")"),6)</f>
        <v>6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IFERROR(__xludf.DUMMYFUNCTION("IMPORTRANGE(""https://docs.google.com/spreadsheets/d/1tdoBKaGub7dwA3U6UFTqxio9LNnvDCQjHKmttSEBsFQ/edit?usp=sharing"",""จัดที่ดิน!AZ16"")"),6)</f>
        <v>6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IFERROR(__xludf.DUMMYFUNCTION("IMPORTRANGE(""https://docs.google.com/spreadsheets/d/1eHaY18a8A9IcSdp1K8H6x8fbOy06t2VsZHhMHf-1x7Y/edit?usp=sharing"",""แผน!IL16"")"),15)</f>
        <v>15</v>
      </c>
      <c r="J673" s="184">
        <f ca="1">IFERROR(__xludf.DUMMYFUNCTION("IMPORTRANGE(""https://docs.google.com/spreadsheets/d/1tdoBKaGub7dwA3U6UFTqxio9LNnvDCQjHKmttSEBsFQ/edit?usp=sharing"",""จัดที่ดิน!BA16"")"),25.36)</f>
        <v>25.36</v>
      </c>
      <c r="K673" s="224">
        <f ca="1">IF(I673&gt;0,J673*100/I673,0)</f>
        <v>169.06666666666666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IFERROR(__xludf.DUMMYFUNCTION("IMPORTRANGE(""https://docs.google.com/spreadsheets/d/1eHaY18a8A9IcSdp1K8H6x8fbOy06t2VsZHhMHf-1x7Y/edit?usp=sharing"",""แผน!IM16"")"),0)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IFERROR(__xludf.DUMMYFUNCTION("IMPORTRANGE(""https://docs.google.com/spreadsheets/d/1eHaY18a8A9IcSdp1K8H6x8fbOy06t2VsZHhMHf-1x7Y/edit?usp=sharing"",""แผน!IN16"")"),0)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IFERROR(__xludf.DUMMYFUNCTION("IMPORTRANGE(""https://docs.google.com/spreadsheets/d/1eHaY18a8A9IcSdp1K8H6x8fbOy06t2VsZHhMHf-1x7Y/edit?usp=sharing"",""แผน!IO16"")"),0)</f>
        <v>0</v>
      </c>
      <c r="J676" s="184">
        <f ca="1">IFERROR(__xludf.DUMMYFUNCTION("IMPORTRANGE(""https://docs.google.com/spreadsheets/d/1tdoBKaGub7dwA3U6UFTqxio9LNnvDCQjHKmttSEBsFQ/edit?usp=sharing"",""จัดที่ดิน!BF16"")"),0)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IFERROR(__xludf.DUMMYFUNCTION("IMPORTRANGE(""https://docs.google.com/spreadsheets/d/1tdoBKaGub7dwA3U6UFTqxio9LNnvDCQjHKmttSEBsFQ/edit?usp=sharing"",""จัดที่ดิน!BG16"")"),0)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IFERROR(__xludf.DUMMYFUNCTION("IMPORTRANGE(""https://docs.google.com/spreadsheets/d/1eHaY18a8A9IcSdp1K8H6x8fbOy06t2VsZHhMHf-1x7Y/edit?usp=sharing"",""แผน!IP16"")"),0)</f>
        <v>0</v>
      </c>
      <c r="J678" s="184">
        <f ca="1">IFERROR(__xludf.DUMMYFUNCTION("IMPORTRANGE(""https://docs.google.com/spreadsheets/d/1tdoBKaGub7dwA3U6UFTqxio9LNnvDCQjHKmttSEBsFQ/edit?usp=sharing"",""จัดที่ดิน!BH16"")"),0)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IFERROR(__xludf.DUMMYFUNCTION("IMPORTRANGE(""https://docs.google.com/spreadsheets/d/1eHaY18a8A9IcSdp1K8H6x8fbOy06t2VsZHhMHf-1x7Y/edit?usp=sharing"",""แผน!IQ16"")"),0)</f>
        <v>0</v>
      </c>
      <c r="J679" s="184">
        <f ca="1">IFERROR(__xludf.DUMMYFUNCTION("IMPORTRANGE(""https://docs.google.com/spreadsheets/d/1tdoBKaGub7dwA3U6UFTqxio9LNnvDCQjHKmttSEBsFQ/edit?usp=sharing"",""จัดที่ดิน!BK16"")"),0)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IFERROR(__xludf.DUMMYFUNCTION("IMPORTRANGE(""https://docs.google.com/spreadsheets/d/1tdoBKaGub7dwA3U6UFTqxio9LNnvDCQjHKmttSEBsFQ/edit?usp=sharing"",""จัดที่ดิน!BL16"")"),0)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IFERROR(__xludf.DUMMYFUNCTION("IMPORTRANGE(""https://docs.google.com/spreadsheets/d/1eHaY18a8A9IcSdp1K8H6x8fbOy06t2VsZHhMHf-1x7Y/edit?usp=sharing"",""แผน!IR16"")"),0)</f>
        <v>0</v>
      </c>
      <c r="J681" s="184">
        <f ca="1">IFERROR(__xludf.DUMMYFUNCTION("IMPORTRANGE(""https://docs.google.com/spreadsheets/d/1tdoBKaGub7dwA3U6UFTqxio9LNnvDCQjHKmttSEBsFQ/edit?usp=sharing"",""จัดที่ดิน!BM16"")"),0)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IFERROR(__xludf.DUMMYFUNCTION("IMPORTRANGE(""https://docs.google.com/spreadsheets/d/1eHaY18a8A9IcSdp1K8H6x8fbOy06t2VsZHhMHf-1x7Y/edit?usp=sharing"",""แผน!IS16"")"),0)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40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194110</v>
      </c>
      <c r="R690" s="547">
        <f ca="1">R691+R692</f>
        <v>194110</v>
      </c>
      <c r="S690" s="547">
        <f ca="1">S691+S692</f>
        <v>135525.56</v>
      </c>
      <c r="T690" s="547">
        <f ca="1">IF(Q690&gt;0,S690*100/Q690,0)</f>
        <v>69.818948019164395</v>
      </c>
      <c r="U690" s="547">
        <f ca="1">IF(R690&gt;0,S690*100/R690,0)</f>
        <v>69.818948019164395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194110</v>
      </c>
      <c r="R692" s="224">
        <f ca="1">R695+R698</f>
        <v>194110</v>
      </c>
      <c r="S692" s="224">
        <f ca="1">S695+S698</f>
        <v>135525.56</v>
      </c>
      <c r="T692" s="224">
        <f ca="1">IF(Q692&gt;0,S692*100/Q692,0)</f>
        <v>69.818948019164395</v>
      </c>
      <c r="U692" s="224">
        <f ca="1">IF(R692&gt;0,S692*100/R692,0)</f>
        <v>69.818948019164395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194110</v>
      </c>
      <c r="R693" s="224">
        <f ca="1">R694+R695</f>
        <v>194110</v>
      </c>
      <c r="S693" s="224">
        <f ca="1">S694+S695</f>
        <v>135525.56</v>
      </c>
      <c r="T693" s="224">
        <f ca="1">IF(Q693&gt;0,S693*100/Q693,0)</f>
        <v>69.818948019164395</v>
      </c>
      <c r="U693" s="224">
        <f ca="1">IF(R693&gt;0,S693*100/R693,0)</f>
        <v>69.818948019164395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5" s="224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5" s="224">
        <f ca="1">IFERROR(__xludf.DUMMYFUNCTION("IMPORTRANGE(""https://docs.google.com/spreadsheets/d/1ItG2mGa2ceCfYo0BwxsXqNm01IGEUdYcSSLTEv9YCik/edit?usp=sharing"",""เบิกจ่ายกองทุน!N16"")"),135525.56)</f>
        <v>135525.56</v>
      </c>
      <c r="T695" s="224">
        <f ca="1">IF(Q695&gt;0,S695*100/Q695,0)</f>
        <v>69.818948019164395</v>
      </c>
      <c r="U695" s="224">
        <f ca="1">IF(R695&gt;0,S695*100/R695,0)</f>
        <v>69.818948019164395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IFERROR(__xludf.DUMMYFUNCTION("IMPORTRANGE(""https://docs.google.com/spreadsheets/d/1eHaY18a8A9IcSdp1K8H6x8fbOy06t2VsZHhMHf-1x7Y/edit?usp=sharing"",""แผน!LC16"")"),1)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44</v>
      </c>
      <c r="J701" s="338">
        <f ca="1">J703+J705</f>
        <v>51</v>
      </c>
      <c r="K701" s="547">
        <f ca="1">IF(I701&gt;0,J701*100/I701,0)</f>
        <v>115.90909090909091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18.75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IFERROR(__xludf.DUMMYFUNCTION("IMPORTRANGE(""https://docs.google.com/spreadsheets/d/1eHaY18a8A9IcSdp1K8H6x8fbOy06t2VsZHhMHf-1x7Y/edit?usp=sharing"",""แผน!LJ16"")"),40)</f>
        <v>40</v>
      </c>
      <c r="J703" s="184">
        <f ca="1">IFERROR(__xludf.DUMMYFUNCTION("IMPORTRANGE(""https://docs.google.com/spreadsheets/d/1tdoBKaGub7dwA3U6UFTqxio9LNnvDCQjHKmttSEBsFQ/edit?usp=sharing"",""จัดที่ดิน!AP16"")"),51)</f>
        <v>51</v>
      </c>
      <c r="K703" s="224">
        <f ca="1">IF(I703&gt;0,J703*100/I703,0)</f>
        <v>127.5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IFERROR(__xludf.DUMMYFUNCTION("IMPORTRANGE(""https://docs.google.com/spreadsheets/d/1tdoBKaGub7dwA3U6UFTqxio9LNnvDCQjHKmttSEBsFQ/edit?usp=sharing"",""จัดที่ดิน!AQ16"")"),18.75)</f>
        <v>18.75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IFERROR(__xludf.DUMMYFUNCTION("IMPORTRANGE(""https://docs.google.com/spreadsheets/d/1eHaY18a8A9IcSdp1K8H6x8fbOy06t2VsZHhMHf-1x7Y/edit?usp=sharing"",""แผน!LK16"")"),4)</f>
        <v>4</v>
      </c>
      <c r="J705" s="184">
        <f ca="1">IFERROR(__xludf.DUMMYFUNCTION("IMPORTRANGE(""https://docs.google.com/spreadsheets/d/1tdoBKaGub7dwA3U6UFTqxio9LNnvDCQjHKmttSEBsFQ/edit?usp=sharing"",""จัดที่ดิน!AR16"")"),0)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IFERROR(__xludf.DUMMYFUNCTION("IMPORTRANGE(""https://docs.google.com/spreadsheets/d/1tdoBKaGub7dwA3U6UFTqxio9LNnvDCQjHKmttSEBsFQ/edit?usp=sharing"",""จัดที่ดิน!AS16"")"),0)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IFERROR(__xludf.DUMMYFUNCTION("IMPORTRANGE(""https://docs.google.com/spreadsheets/d/1eHaY18a8A9IcSdp1K8H6x8fbOy06t2VsZHhMHf-1x7Y/edit?usp=sharing"",""แผน!LJ16"")"),40)</f>
        <v>40</v>
      </c>
      <c r="J707" s="184">
        <f ca="1">IFERROR(__xludf.DUMMYFUNCTION("IMPORTRANGE(""https://docs.google.com/spreadsheets/d/1tdoBKaGub7dwA3U6UFTqxio9LNnvDCQjHKmttSEBsFQ/edit?usp=sharing"",""จัดที่ดิน!BN16"")"),0)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IFERROR(__xludf.DUMMYFUNCTION("IMPORTRANGE(""https://docs.google.com/spreadsheets/d/1tdoBKaGub7dwA3U6UFTqxio9LNnvDCQjHKmttSEBsFQ/edit?usp=sharing"",""จัดที่ดิน!BO16"")"),0)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IFERROR(__xludf.DUMMYFUNCTION("IMPORTRANGE(""https://docs.google.com/spreadsheets/d/1eHaY18a8A9IcSdp1K8H6x8fbOy06t2VsZHhMHf-1x7Y/edit?usp=sharing"",""แผน!LK16"")"),4)</f>
        <v>4</v>
      </c>
      <c r="J709" s="184">
        <f ca="1">IFERROR(__xludf.DUMMYFUNCTION("IMPORTRANGE(""https://docs.google.com/spreadsheets/d/1tdoBKaGub7dwA3U6UFTqxio9LNnvDCQjHKmttSEBsFQ/edit?usp=sharing"",""จัดที่ดิน!BP16"")"),1)</f>
        <v>1</v>
      </c>
      <c r="K709" s="224">
        <f ca="1">IF(I709&gt;0,J709*100/I709,0)</f>
        <v>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IFERROR(__xludf.DUMMYFUNCTION("IMPORTRANGE(""https://docs.google.com/spreadsheets/d/1tdoBKaGub7dwA3U6UFTqxio9LNnvDCQjHKmttSEBsFQ/edit?usp=sharing"",""จัดที่ดิน!BQ16"")"),0)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IFERROR(__xludf.DUMMYFUNCTION("IMPORTRANGE(""https://docs.google.com/spreadsheets/d/1eHaY18a8A9IcSdp1K8H6x8fbOy06t2VsZHhMHf-1x7Y/edit?usp=sharing"",""แผน!GA16"")"),128)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IFERROR(__xludf.DUMMYFUNCTION("IMPORTRANGE(""https://docs.google.com/spreadsheets/d/1eHaY18a8A9IcSdp1K8H6x8fbOy06t2VsZHhMHf-1x7Y/edit?usp=sharing"",""แผน!FZ16"")"),1250)</f>
        <v>1250</v>
      </c>
      <c r="J727" s="552">
        <f>J752+J755</f>
        <v>1250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905419</v>
      </c>
      <c r="T728" s="547">
        <f ca="1">IF(Q728&gt;0,S728*100/Q728,0)</f>
        <v>89.781451109105873</v>
      </c>
      <c r="U728" s="547">
        <f ca="1">IF(R728&gt;0,S728*100/R728,0)</f>
        <v>89.781451109105873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905419</v>
      </c>
      <c r="T730" s="224">
        <f ca="1">IF(Q730&gt;0,S730*100/Q730,0)</f>
        <v>89.781451109105873</v>
      </c>
      <c r="U730" s="224">
        <f ca="1">IF(R730&gt;0,S730*100/R730,0)</f>
        <v>89.781451109105873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905419</v>
      </c>
      <c r="T731" s="224">
        <f ca="1">IF(Q731&gt;0,S731*100/Q731,0)</f>
        <v>89.781451109105873</v>
      </c>
      <c r="U731" s="224">
        <f ca="1">IF(R731&gt;0,S731*100/R731,0)</f>
        <v>89.781451109105873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IFERROR(__xludf.DUMMYFUNCTION("IMPORTRANGE(""https://docs.google.com/spreadsheets/d/1ItG2mGa2ceCfYo0BwxsXqNm01IGEUdYcSSLTEv9YCik/edit?usp=sharing"",""เบิกจ่ายกองทุน!Q16"")"),905419)</f>
        <v>905419</v>
      </c>
      <c r="T733" s="224">
        <f ca="1">IF(Q733&gt;0,S733*100/Q733,0)</f>
        <v>89.781451109105873</v>
      </c>
      <c r="U733" s="224">
        <f ca="1">IF(R733&gt;0,S733*100/R733,0)</f>
        <v>89.781451109105873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21"/>
      <c r="B739" s="422"/>
      <c r="C739" s="422"/>
      <c r="D739" s="422"/>
      <c r="E739" s="427" t="s">
        <v>277</v>
      </c>
      <c r="F739" s="422"/>
      <c r="G739" s="428"/>
      <c r="H739" s="560"/>
      <c r="I739" s="406"/>
      <c r="J739" s="406"/>
      <c r="K739" s="407"/>
      <c r="L739" s="554"/>
      <c r="M739" s="407"/>
      <c r="N739" s="407"/>
      <c r="O739" s="407"/>
      <c r="P739" s="407"/>
      <c r="Q739" s="407"/>
      <c r="R739" s="407"/>
      <c r="S739" s="407"/>
      <c r="T739" s="407"/>
      <c r="U739" s="407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IFERROR(__xludf.DUMMYFUNCTION("IMPORTRANGE(""https://docs.google.com/spreadsheets/d/1eHaY18a8A9IcSdp1K8H6x8fbOy06t2VsZHhMHf-1x7Y/edit?usp=sharing"",""แผน!GB16"")"),1000)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IFERROR(__xludf.DUMMYFUNCTION("IMPORTRANGE(""https://docs.google.com/spreadsheets/d/1eHaY18a8A9IcSdp1K8H6x8fbOy06t2VsZHhMHf-1x7Y/edit?usp=sharing"",""แผน!GC16"")"),100)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IFERROR(__xludf.DUMMYFUNCTION("IMPORTRANGE(""https://docs.google.com/spreadsheets/d/1eHaY18a8A9IcSdp1K8H6x8fbOy06t2VsZHhMHf-1x7Y/edit?usp=sharing"",""แผน!GD16"")"),250)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IFERROR(__xludf.DUMMYFUNCTION("IMPORTRANGE(""https://docs.google.com/spreadsheets/d/1eHaY18a8A9IcSdp1K8H6x8fbOy06t2VsZHhMHf-1x7Y/edit?usp=sharing"",""แผน!GE16"")"),25)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24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IFERROR(__xludf.DUMMYFUNCTION("IMPORTRANGE(""https://docs.google.com/spreadsheets/d/1eHaY18a8A9IcSdp1K8H6x8fbOy06t2VsZHhMHf-1x7Y/edit?usp=sharing"",""แผน!GF16"")"),3)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IFERROR(__xludf.DUMMYFUNCTION("IMPORTRANGE(""https://docs.google.com/spreadsheets/d/1eHaY18a8A9IcSdp1K8H6x8fbOy06t2VsZHhMHf-1x7Y/edit?usp=sharing"",""แผน!GB16"")"),1000)</f>
        <v>1000</v>
      </c>
      <c r="J752" s="555">
        <v>1000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1000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IFERROR(__xludf.DUMMYFUNCTION("IMPORTRANGE(""https://docs.google.com/spreadsheets/d/1eHaY18a8A9IcSdp1K8H6x8fbOy06t2VsZHhMHf-1x7Y/edit?usp=sharing"",""แผน!GD16"")"),250)</f>
        <v>250</v>
      </c>
      <c r="J755" s="555">
        <v>250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250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3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60</v>
      </c>
      <c r="J758" s="552">
        <f>J772</f>
        <v>60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110</v>
      </c>
      <c r="J759" s="552">
        <f>J774</f>
        <v>110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416100</v>
      </c>
      <c r="R760" s="547">
        <f ca="1">R761+R762</f>
        <v>416100</v>
      </c>
      <c r="S760" s="547">
        <f ca="1">S761+S762</f>
        <v>380300</v>
      </c>
      <c r="T760" s="547">
        <f ca="1">IF(Q760&gt;0,S760*100/Q760,0)</f>
        <v>91.396298966594571</v>
      </c>
      <c r="U760" s="547">
        <f ca="1">IF(R760&gt;0,S760*100/R760,0)</f>
        <v>91.396298966594571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416100</v>
      </c>
      <c r="R762" s="224">
        <f ca="1">R765+R768</f>
        <v>416100</v>
      </c>
      <c r="S762" s="224">
        <f ca="1">S765+S768</f>
        <v>380300</v>
      </c>
      <c r="T762" s="224">
        <f ca="1">IF(Q762&gt;0,S762*100/Q762,0)</f>
        <v>91.396298966594571</v>
      </c>
      <c r="U762" s="224">
        <f ca="1">IF(R762&gt;0,S762*100/R762,0)</f>
        <v>91.396298966594571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416100</v>
      </c>
      <c r="R763" s="224">
        <f ca="1">R764+R765</f>
        <v>416100</v>
      </c>
      <c r="S763" s="224">
        <f ca="1">S764+S765</f>
        <v>380300</v>
      </c>
      <c r="T763" s="224">
        <f ca="1">IF(Q763&gt;0,S763*100/Q763,0)</f>
        <v>91.396298966594571</v>
      </c>
      <c r="U763" s="224">
        <f ca="1">IF(R763&gt;0,S763*100/R763,0)</f>
        <v>91.396298966594571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IFERROR(__xludf.DUMMYFUNCTION("IMPORTRANGE(""https://docs.google.com/spreadsheets/d/1ItG2mGa2ceCfYo0BwxsXqNm01IGEUdYcSSLTEv9YCik/edit?usp=sharing"",""เบิกจ่ายกองทุน!AA16"")"),416100)</f>
        <v>416100</v>
      </c>
      <c r="R765" s="224">
        <f ca="1">IFERROR(__xludf.DUMMYFUNCTION("IMPORTRANGE(""https://docs.google.com/spreadsheets/d/1ItG2mGa2ceCfYo0BwxsXqNm01IGEUdYcSSLTEv9YCik/edit?usp=sharing"",""เบิกจ่ายกองทุน!AB16"")"),416100)</f>
        <v>416100</v>
      </c>
      <c r="S765" s="224">
        <f ca="1">IFERROR(__xludf.DUMMYFUNCTION("IMPORTRANGE(""https://docs.google.com/spreadsheets/d/1ItG2mGa2ceCfYo0BwxsXqNm01IGEUdYcSSLTEv9YCik/edit?usp=sharing"",""เบิกจ่ายกองทุน!AC16"")"),380300)</f>
        <v>380300</v>
      </c>
      <c r="T765" s="224">
        <f ca="1">IF(Q765&gt;0,S765*100/Q765,0)</f>
        <v>91.396298966594571</v>
      </c>
      <c r="U765" s="224">
        <f ca="1">IF(R765&gt;0,S765*100/R765,0)</f>
        <v>91.396298966594571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IFERROR(__xludf.DUMMYFUNCTION("IMPORTRANGE(""https://docs.google.com/spreadsheets/d/1eHaY18a8A9IcSdp1K8H6x8fbOy06t2VsZHhMHf-1x7Y/edit?usp=sharing"",""แผน!FI16"")"),1)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IFERROR(__xludf.DUMMYFUNCTION("IMPORTRANGE(""https://docs.google.com/spreadsheets/d/1eHaY18a8A9IcSdp1K8H6x8fbOy06t2VsZHhMHf-1x7Y/edit?usp=sharing"",""แผน!FQ16"")"),60)</f>
        <v>60</v>
      </c>
      <c r="J772" s="380">
        <v>60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IFERROR(__xludf.DUMMYFUNCTION("IMPORTRANGE(""https://docs.google.com/spreadsheets/d/1eHaY18a8A9IcSdp1K8H6x8fbOy06t2VsZHhMHf-1x7Y/edit?usp=sharing"",""แผน!FR16"")"),110)</f>
        <v>110</v>
      </c>
      <c r="J774" s="380">
        <v>110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IFERROR(__xludf.DUMMYFUNCTION("IMPORTRANGE(""https://docs.google.com/spreadsheets/d/1eHaY18a8A9IcSdp1K8H6x8fbOy06t2VsZHhMHf-1x7Y/edit?usp=sharing"",""แผน!FS16"")"),110)</f>
        <v>110</v>
      </c>
      <c r="J775" s="380">
        <v>110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IFERROR(__xludf.DUMMYFUNCTION("IMPORTRANGE(""https://docs.google.com/spreadsheets/d/1eHaY18a8A9IcSdp1K8H6x8fbOy06t2VsZHhMHf-1x7Y/edit?usp=sharing"",""แผน!FT16"")"),60)</f>
        <v>60</v>
      </c>
      <c r="J776" s="542">
        <v>60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IFERROR(__xludf.DUMMYFUNCTION("IMPORTRANGE(""https://docs.google.com/spreadsheets/d/10OvvATaaLtwErnr3qtWFcTmtbfpFEt5Bsqel9sXx0uE/edit?usp=sharing"",""งานกองทุน!D16"")"),329818.8)</f>
        <v>329818.8</v>
      </c>
      <c r="J778" s="184">
        <f ca="1">IFERROR(__xludf.DUMMYFUNCTION("IMPORTRANGE(""https://docs.google.com/spreadsheets/d/10OvvATaaLtwErnr3qtWFcTmtbfpFEt5Bsqel9sXx0uE/edit?usp=sharing"",""งานกองทุน!F16"")"),329818.8)</f>
        <v>329818.8</v>
      </c>
      <c r="K778" s="224">
        <f ca="1">IF(I778&gt;0,J778*100/I778,0)</f>
        <v>100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IFERROR(__xludf.DUMMYFUNCTION("IMPORTRANGE(""https://docs.google.com/spreadsheets/d/10OvvATaaLtwErnr3qtWFcTmtbfpFEt5Bsqel9sXx0uE/edit?usp=sharing"",""งานกองทุน!C16"")"),19)</f>
        <v>19</v>
      </c>
      <c r="J779" s="184">
        <f ca="1">IFERROR(__xludf.DUMMYFUNCTION("IMPORTRANGE(""https://docs.google.com/spreadsheets/d/10OvvATaaLtwErnr3qtWFcTmtbfpFEt5Bsqel9sXx0uE/edit?usp=sharing"",""งานกองทุน!E16"")"),19)</f>
        <v>19</v>
      </c>
      <c r="K779" s="224">
        <f ca="1">IF(I779&gt;0,J779*100/I779,0)</f>
        <v>100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184">
        <f ca="1">IFERROR(__xludf.DUMMYFUNCTION("IMPORTRANGE(""https://docs.google.com/spreadsheets/d/10OvvATaaLtwErnr3qtWFcTmtbfpFEt5Bsqel9sXx0uE/edit?usp=sharing"",""งานกองทุน!K16"")"),125196.47)</f>
        <v>125196.47</v>
      </c>
      <c r="K780" s="224">
        <f ca="1">IF(I780&gt;0,J780*100/I780,0)</f>
        <v>16.537677729403704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IFERROR(__xludf.DUMMYFUNCTION("IMPORTRANGE(""https://docs.google.com/spreadsheets/d/10OvvATaaLtwErnr3qtWFcTmtbfpFEt5Bsqel9sXx0uE/edit?usp=sharing"",""งานกองทุน!H16"")"),51)</f>
        <v>51</v>
      </c>
      <c r="J781" s="184">
        <f ca="1">IFERROR(__xludf.DUMMYFUNCTION("IMPORTRANGE(""https://docs.google.com/spreadsheets/d/10OvvATaaLtwErnr3qtWFcTmtbfpFEt5Bsqel9sXx0uE/edit?usp=sharing"",""งานกองทุน!J16"")"),26)</f>
        <v>26</v>
      </c>
      <c r="K781" s="224">
        <f ca="1">IF(I781&gt;0,J781*100/I781,0)</f>
        <v>50.980392156862742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184">
        <f ca="1">IFERROR(__xludf.DUMMYFUNCTION("IMPORTRANGE(""https://docs.google.com/spreadsheets/d/10OvvATaaLtwErnr3qtWFcTmtbfpFEt5Bsqel9sXx0uE/edit?usp=sharing"",""งานกองทุน!P16"")"),16391.17)</f>
        <v>16391.169999999998</v>
      </c>
      <c r="K782" s="224">
        <f ca="1">IF(I782&gt;0,J782*100/I782,0)</f>
        <v>41.847975802924644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IFERROR(__xludf.DUMMYFUNCTION("IMPORTRANGE(""https://docs.google.com/spreadsheets/d/10OvvATaaLtwErnr3qtWFcTmtbfpFEt5Bsqel9sXx0uE/edit?usp=sharing"",""งานกองทุน!M16"")"),20)</f>
        <v>20</v>
      </c>
      <c r="J783" s="184">
        <f ca="1">IFERROR(__xludf.DUMMYFUNCTION("IMPORTRANGE(""https://docs.google.com/spreadsheets/d/10OvvATaaLtwErnr3qtWFcTmtbfpFEt5Bsqel9sXx0uE/edit?usp=sharing"",""งานกองทุน!O16"")"),16)</f>
        <v>16</v>
      </c>
      <c r="K783" s="224">
        <f ca="1">IF(I783&gt;0,J783*100/I783,0)</f>
        <v>80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IFERROR(__xludf.DUMMYFUNCTION("IMPORTRANGE(""https://docs.google.com/spreadsheets/d/10OvvATaaLtwErnr3qtWFcTmtbfpFEt5Bsqel9sXx0uE/edit?usp=sharing"",""งานกองทุน!S16"")"),3696000)</f>
        <v>3696000</v>
      </c>
      <c r="J784" s="184">
        <f ca="1">IFERROR(__xludf.DUMMYFUNCTION("IMPORTRANGE(""https://docs.google.com/spreadsheets/d/10OvvATaaLtwErnr3qtWFcTmtbfpFEt5Bsqel9sXx0uE/edit?usp=sharing"",""งานกองทุน!U16"")"),620000)</f>
        <v>620000</v>
      </c>
      <c r="K784" s="224">
        <f ca="1">IF(I784&gt;0,J784*100/I784,0)</f>
        <v>16.774891774891774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IFERROR(__xludf.DUMMYFUNCTION("IMPORTRANGE(""https://docs.google.com/spreadsheets/d/10OvvATaaLtwErnr3qtWFcTmtbfpFEt5Bsqel9sXx0uE/edit?usp=sharing"",""งานกองทุน!R16"")"),132)</f>
        <v>132</v>
      </c>
      <c r="J785" s="188">
        <f ca="1">IFERROR(__xludf.DUMMYFUNCTION("IMPORTRANGE(""https://docs.google.com/spreadsheets/d/10OvvATaaLtwErnr3qtWFcTmtbfpFEt5Bsqel9sXx0uE/edit?usp=sharing"",""งานกองทุน!T16"")"),15)</f>
        <v>15</v>
      </c>
      <c r="K785" s="508">
        <f ca="1">IF(I785&gt;0,J785*100/I785,0)</f>
        <v>11.363636363636363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20866-C51D-4C79-B1C6-F33458817E1C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324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3202969</v>
      </c>
      <c r="M18" s="755">
        <f ca="1">M19+M20</f>
        <v>3511453</v>
      </c>
      <c r="N18" s="755">
        <f ca="1">N19+N20</f>
        <v>2971096.38</v>
      </c>
      <c r="O18" s="755">
        <f ca="1">IF(L18&gt;0,N18*100/L18,0)</f>
        <v>92.760697340498766</v>
      </c>
      <c r="P18" s="755">
        <f ca="1">IF(M18&gt;0,N18*100/M18,0)</f>
        <v>84.611594687441354</v>
      </c>
      <c r="Q18" s="755">
        <f ca="1">Q19+Q20</f>
        <v>922670.24</v>
      </c>
      <c r="R18" s="755">
        <f ca="1">R19+R20</f>
        <v>926870</v>
      </c>
      <c r="S18" s="755">
        <f ca="1">S19+S20</f>
        <v>770678.14</v>
      </c>
      <c r="T18" s="755">
        <f ca="1">IF(Q18&gt;0,S18*100/Q18,0)</f>
        <v>83.526931571999114</v>
      </c>
      <c r="U18" s="755">
        <f ca="1">IF(R18&gt;0,S18*100/R18,0)</f>
        <v>83.148460949216172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3202969</v>
      </c>
      <c r="M20" s="794">
        <f ca="1">M23+M26</f>
        <v>3511453</v>
      </c>
      <c r="N20" s="794">
        <f ca="1">N23+N26</f>
        <v>2971096.38</v>
      </c>
      <c r="O20" s="794">
        <f ca="1">IF(L20&gt;0,N20*100/L20,0)</f>
        <v>92.760697340498766</v>
      </c>
      <c r="P20" s="794">
        <f ca="1">IF(M20&gt;0,N20*100/M20,0)</f>
        <v>84.611594687441354</v>
      </c>
      <c r="Q20" s="794">
        <f ca="1">Q23+Q26</f>
        <v>922670.24</v>
      </c>
      <c r="R20" s="794">
        <f ca="1">R23+R26</f>
        <v>926870</v>
      </c>
      <c r="S20" s="794">
        <f ca="1">S23+S26</f>
        <v>770678.14</v>
      </c>
      <c r="T20" s="794">
        <f ca="1">IF(Q20&gt;0,S20*100/Q20,0)</f>
        <v>83.526931571999114</v>
      </c>
      <c r="U20" s="794">
        <f ca="1">IF(R20&gt;0,S20*100/R20,0)</f>
        <v>83.148460949216172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3119969</v>
      </c>
      <c r="M21" s="224">
        <f ca="1">M22+M23</f>
        <v>3428453</v>
      </c>
      <c r="N21" s="224">
        <f ca="1">N22+N23</f>
        <v>2888096.38</v>
      </c>
      <c r="O21" s="224">
        <f ca="1">IF(L21&gt;0,N21*100/L21,0)</f>
        <v>92.568111413927511</v>
      </c>
      <c r="P21" s="224">
        <f ca="1">IF(M21&gt;0,N21*100/M21,0)</f>
        <v>84.239054173996266</v>
      </c>
      <c r="Q21" s="224">
        <f ca="1">Q22+Q23</f>
        <v>922670.24</v>
      </c>
      <c r="R21" s="224">
        <f ca="1">R22+R23</f>
        <v>926870</v>
      </c>
      <c r="S21" s="224">
        <f ca="1">S22+S23</f>
        <v>770678.14</v>
      </c>
      <c r="T21" s="224">
        <f ca="1">IF(Q21&gt;0,S21*100/Q21,0)</f>
        <v>83.526931571999114</v>
      </c>
      <c r="U21" s="224">
        <f ca="1">IF(R21&gt;0,S21*100/R21,0)</f>
        <v>83.148460949216172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3119969</v>
      </c>
      <c r="M23" s="224">
        <f ca="1">M49+M64+M77+M99+M122+M144+M162+M191+M178+M271+M287+M308+M325+M338+M361+M380+M418+M498+M518+M539+M560+M581+M604+M621+M647+M695+M719+M733+M765</f>
        <v>3428453</v>
      </c>
      <c r="N23" s="224">
        <f ca="1">N49+N64+N77+N99+N122+N144+N162+N191+N178+N271+N287+N308+N325+N338+N361+N380+N418+N498+N518+N539+N560+N581+N604+N621+N647+N695+N719+N733+N765</f>
        <v>2888096.38</v>
      </c>
      <c r="O23" s="224">
        <f ca="1">IF(L23&gt;0,N23*100/L23,0)</f>
        <v>92.568111413927511</v>
      </c>
      <c r="P23" s="224">
        <f ca="1">IF(M23&gt;0,N23*100/M23,0)</f>
        <v>84.239054173996266</v>
      </c>
      <c r="Q23" s="224">
        <f ca="1">Q77+Q99+Q122+Q144+Q162+Q178+Q191+Q271+Q287+Q308+Q338+Q380+Q397+Q418+Q498+Q604+Q621+Q647+Q695+Q719+Q733+Q765</f>
        <v>922670.24</v>
      </c>
      <c r="R23" s="224">
        <f ca="1">R77+R99+R122+R144+R162+R178+R191+R271+R287+R308+R338+R380+R397+R418+R498+R604+R621+R647+R695+R719+R733+R765</f>
        <v>926870</v>
      </c>
      <c r="S23" s="224">
        <f ca="1">S77+S99+S122+S144+S162+S178+S191+S271+S287+S308+S338+S380+S397+S418+S498+S604+S621+S647+S695+S719+S733+S765</f>
        <v>770678.14</v>
      </c>
      <c r="T23" s="224">
        <f ca="1">IF(Q23&gt;0,S23*100/Q23,0)</f>
        <v>83.526931571999114</v>
      </c>
      <c r="U23" s="224">
        <f ca="1">IF(R23&gt;0,S23*100/R23,0)</f>
        <v>83.148460949216172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83000</v>
      </c>
      <c r="M24" s="224">
        <f ca="1">M25+M26</f>
        <v>83000</v>
      </c>
      <c r="N24" s="224">
        <f ca="1">N25+N26</f>
        <v>83000</v>
      </c>
      <c r="O24" s="224">
        <f ca="1">IF(L24&gt;0,N24*100/L24,0)</f>
        <v>100</v>
      </c>
      <c r="P24" s="224">
        <f ca="1">IF(M24&gt;0,N24*100/M24,0)</f>
        <v>100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83000</v>
      </c>
      <c r="M26" s="224">
        <f ca="1">M52+M67+M80+M102+M125+M147+M165+M194+M181+M274+M290+M311+M328+M341+M364+M383+M421+M501+M521+M542+M563+M584+M607+M624+M650+M698+M722+M736+M768</f>
        <v>83000</v>
      </c>
      <c r="N26" s="224">
        <f ca="1">N52+N67+N80+N102+N125+N147+N165+N194+N181+N274+N290+N311+N328+N341+N364+N383+N421+N501+N521+N542+N563+N584+N607+N624+N650+N698+N722+N736+N768</f>
        <v>83000</v>
      </c>
      <c r="O26" s="224">
        <f ca="1">IF(L26&gt;0,N26*100/L26,0)</f>
        <v>100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2469010</v>
      </c>
      <c r="M40" s="790">
        <f ca="1">M44+M59+M72+M94+M125+M139+M157+M173+M186+M266+M282+M303+M320+M333+M356</f>
        <v>2777494</v>
      </c>
      <c r="N40" s="790">
        <f ca="1">N44+N59+N72+N94+N125+N139+N157+N173+N186+N266+N282+N303+N320+N333+N356</f>
        <v>2484043.38</v>
      </c>
      <c r="O40" s="790">
        <f ca="1">IF(L40&gt;0,N40*100/L40,0)</f>
        <v>100.60888291258439</v>
      </c>
      <c r="P40" s="790">
        <f ca="1">IF(M40&gt;0,N40*100/M40,0)</f>
        <v>89.434698328781266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424000</v>
      </c>
      <c r="M44" s="784">
        <f ca="1">M45+M46</f>
        <v>584074</v>
      </c>
      <c r="N44" s="784">
        <f ca="1">N45+N46</f>
        <v>535674</v>
      </c>
      <c r="O44" s="784">
        <f ca="1">IF(L44&gt;0,N44*100/L44,0)</f>
        <v>126.33820754716982</v>
      </c>
      <c r="P44" s="784">
        <f ca="1">IF(M44&gt;0,N44*100/M44,0)</f>
        <v>91.713378784195157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424000</v>
      </c>
      <c r="M46" s="778">
        <f ca="1">M49+M52</f>
        <v>584074</v>
      </c>
      <c r="N46" s="778">
        <f ca="1">N49+N52</f>
        <v>535674</v>
      </c>
      <c r="O46" s="778">
        <f ca="1">IF(L46&gt;0,N46*100/L46,0)</f>
        <v>126.33820754716982</v>
      </c>
      <c r="P46" s="778">
        <f ca="1">IF(M46&gt;0,N46*100/M46,0)</f>
        <v>91.713378784195157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424000</v>
      </c>
      <c r="M47" s="224">
        <f ca="1">M48+M49</f>
        <v>584074</v>
      </c>
      <c r="N47" s="224">
        <f ca="1">N48+N49</f>
        <v>535674</v>
      </c>
      <c r="O47" s="224">
        <f ca="1">IF(L47&gt;0,N47*100/L47,0)</f>
        <v>126.33820754716982</v>
      </c>
      <c r="P47" s="224">
        <f ca="1">IF(M47&gt;0,N47*100/M47,0)</f>
        <v>91.713378784195157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IFERROR(__xludf.DUMMYFUNCTION("IMPORTRANGE(""https://docs.google.com/spreadsheets/d/1-uDff_7J0KD5mKrp0Vvzr7lt3OU09vwQwhkpOPPYv2Y/edit?usp=sharing"",""งบพรบ!P17"")"),424000)</f>
        <v>424000</v>
      </c>
      <c r="M49" s="224">
        <f ca="1">IFERROR(__xludf.DUMMYFUNCTION("IMPORTRANGE(""https://docs.google.com/spreadsheets/d/1-uDff_7J0KD5mKrp0Vvzr7lt3OU09vwQwhkpOPPYv2Y/edit?usp=sharing"",""งบพรบ!V17"")"),584074)</f>
        <v>584074</v>
      </c>
      <c r="N49" s="224">
        <f ca="1">IFERROR(__xludf.DUMMYFUNCTION("IMPORTRANGE(""https://docs.google.com/spreadsheets/d/1-uDff_7J0KD5mKrp0Vvzr7lt3OU09vwQwhkpOPPYv2Y/edit?usp=sharing"",""งบพรบ!Y17"")"),535674)</f>
        <v>535674</v>
      </c>
      <c r="O49" s="224">
        <f ca="1">IF(L49&gt;0,N49*100/L49,0)</f>
        <v>126.33820754716982</v>
      </c>
      <c r="P49" s="224">
        <f ca="1">IF(M49&gt;0,N49*100/M49,0)</f>
        <v>91.713378784195157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IFERROR(__xludf.DUMMYFUNCTION("IMPORTRANGE(""https://docs.google.com/spreadsheets/d/1-uDff_7J0KD5mKrp0Vvzr7lt3OU09vwQwhkpOPPYv2Y/edit?usp=sharing"",""งบพรบ!S17"")"),0)</f>
        <v>0</v>
      </c>
      <c r="M52" s="224">
        <f ca="1">IFERROR(__xludf.DUMMYFUNCTION("IMPORTRANGE(""https://docs.google.com/spreadsheets/d/1-uDff_7J0KD5mKrp0Vvzr7lt3OU09vwQwhkpOPPYv2Y/edit?usp=sharing"",""งบพรบ!W17"")"),0)</f>
        <v>0</v>
      </c>
      <c r="N52" s="224">
        <f ca="1">IFERROR(__xludf.DUMMYFUNCTION("IMPORTRANGE(""https://docs.google.com/spreadsheets/d/1-uDff_7J0KD5mKrp0Vvzr7lt3OU09vwQwhkpOPPYv2Y/edit?usp=sharing"",""งบพรบ!Z17"")"),0)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788100</v>
      </c>
      <c r="M59" s="772">
        <f ca="1">M60+M61</f>
        <v>788100</v>
      </c>
      <c r="N59" s="772">
        <f ca="1">N60+N61</f>
        <v>725271.38</v>
      </c>
      <c r="O59" s="772">
        <f ca="1">IF(L59&gt;0,N59*100/L59,0)</f>
        <v>92.027836568963323</v>
      </c>
      <c r="P59" s="772">
        <f ca="1">IF(M59&gt;0,N59*100/M59,0)</f>
        <v>92.027836568963323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788100</v>
      </c>
      <c r="M61" s="766">
        <f ca="1">M64+M67</f>
        <v>788100</v>
      </c>
      <c r="N61" s="766">
        <f ca="1">N64+N67</f>
        <v>725271.38</v>
      </c>
      <c r="O61" s="766">
        <f ca="1">IF(L61&gt;0,N61*100/L61,0)</f>
        <v>92.027836568963323</v>
      </c>
      <c r="P61" s="766">
        <f ca="1">IF(M61&gt;0,N61*100/M61,0)</f>
        <v>92.027836568963323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705100</v>
      </c>
      <c r="M62" s="224">
        <f ca="1">M63+M64</f>
        <v>705100</v>
      </c>
      <c r="N62" s="224">
        <f ca="1">N63+N64</f>
        <v>642271.38</v>
      </c>
      <c r="O62" s="224">
        <f ca="1">IF(L62&gt;0,N62*100/L62,0)</f>
        <v>91.089402921571406</v>
      </c>
      <c r="P62" s="224">
        <f ca="1">IF(M62&gt;0,N62*100/M62,0)</f>
        <v>91.089402921571406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IFERROR(__xludf.DUMMYFUNCTION("IMPORTRANGE(""https://docs.google.com/spreadsheets/d/1-uDff_7J0KD5mKrp0Vvzr7lt3OU09vwQwhkpOPPYv2Y/edit?usp=sharing"",""งบพรบ!AC17"")"),705100)</f>
        <v>705100</v>
      </c>
      <c r="M64" s="224">
        <f ca="1">IFERROR(__xludf.DUMMYFUNCTION("IMPORTRANGE(""https://docs.google.com/spreadsheets/d/1-uDff_7J0KD5mKrp0Vvzr7lt3OU09vwQwhkpOPPYv2Y/edit?usp=sharing"",""งบพรบ!AH17"")"),705100)</f>
        <v>705100</v>
      </c>
      <c r="N64" s="224">
        <f ca="1">IFERROR(__xludf.DUMMYFUNCTION("IMPORTRANGE(""https://docs.google.com/spreadsheets/d/1-uDff_7J0KD5mKrp0Vvzr7lt3OU09vwQwhkpOPPYv2Y/edit?usp=sharing"",""งบพรบ!AJ17"")"),642271.38)</f>
        <v>642271.38</v>
      </c>
      <c r="O64" s="224">
        <f ca="1">IF(L64&gt;0,N64*100/L64,0)</f>
        <v>91.089402921571406</v>
      </c>
      <c r="P64" s="224">
        <f ca="1">IF(M64&gt;0,N64*100/M64,0)</f>
        <v>91.089402921571406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83000</v>
      </c>
      <c r="M65" s="224">
        <f ca="1">M66+M67</f>
        <v>83000</v>
      </c>
      <c r="N65" s="224">
        <f ca="1">N66+N67</f>
        <v>83000</v>
      </c>
      <c r="O65" s="224">
        <f ca="1">IF(L65&gt;0,N65*100/L65,0)</f>
        <v>100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IFERROR(__xludf.DUMMYFUNCTION("IMPORTRANGE(""https://docs.google.com/spreadsheets/d/1-uDff_7J0KD5mKrp0Vvzr7lt3OU09vwQwhkpOPPYv2Y/edit?usp=sharing"",""งบพรบ!AF17"")"),83000)</f>
        <v>83000</v>
      </c>
      <c r="M67" s="508">
        <f ca="1">IFERROR(__xludf.DUMMYFUNCTION("IMPORTRANGE(""https://docs.google.com/spreadsheets/d/1-uDff_7J0KD5mKrp0Vvzr7lt3OU09vwQwhkpOPPYv2Y/edit?usp=sharing"",""งบพรบ!AI17"")"),83000)</f>
        <v>83000</v>
      </c>
      <c r="N67" s="508">
        <f ca="1">IFERROR(__xludf.DUMMYFUNCTION("IMPORTRANGE(""https://docs.google.com/spreadsheets/d/1-uDff_7J0KD5mKrp0Vvzr7lt3OU09vwQwhkpOPPYv2Y/edit?usp=sharing"",""งบพรบ!AK17"")"),83000)</f>
        <v>83000</v>
      </c>
      <c r="O67" s="508">
        <f ca="1">IF(L67&gt;0,N67*100/L67,0)</f>
        <v>100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IFERROR(__xludf.DUMMYFUNCTION("IMPORTRANGE(""https://docs.google.com/spreadsheets/d/1-uDff_7J0KD5mKrp0Vvzr7lt3OU09vwQwhkpOPPYv2Y/edit?usp=sharing"",""งบพรบ!AM17"")"),0)</f>
        <v>0</v>
      </c>
      <c r="M77" s="224">
        <f ca="1">IFERROR(__xludf.DUMMYFUNCTION("IMPORTRANGE(""https://docs.google.com/spreadsheets/d/1-uDff_7J0KD5mKrp0Vvzr7lt3OU09vwQwhkpOPPYv2Y/edit?usp=sharing"",""งบพรบ!AR17"")"),0)</f>
        <v>0</v>
      </c>
      <c r="N77" s="224">
        <f ca="1">IFERROR(__xludf.DUMMYFUNCTION("IMPORTRANGE(""https://docs.google.com/spreadsheets/d/1-uDff_7J0KD5mKrp0Vvzr7lt3OU09vwQwhkpOPPYv2Y/edit?usp=sharing"",""งบพรบ!AT17"")"),0)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IFERROR(__xludf.DUMMYFUNCTION("IMPORTRANGE(""https://docs.google.com/spreadsheets/d/1ItG2mGa2ceCfYo0BwxsXqNm01IGEUdYcSSLTEv9YCik/edit?usp=sharing"",""เบิกจ่ายกองทุน!BH17"")"),0)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IFERROR(__xludf.DUMMYFUNCTION("IMPORTRANGE(""https://docs.google.com/spreadsheets/d/1ItG2mGa2ceCfYo0BwxsXqNm01IGEUdYcSSLTEv9YCik/edit?usp=sharing"",""เบิกจ่ายกองทุน!BI17"")"),0)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IFERROR(__xludf.DUMMYFUNCTION("IMPORTRANGE(""https://docs.google.com/spreadsheets/d/1ItG2mGa2ceCfYo0BwxsXqNm01IGEUdYcSSLTEv9YCik/edit?usp=sharing"",""เบิกจ่ายกองทุน!BJ17"")"),0)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IFERROR(__xludf.DUMMYFUNCTION("IMPORTRANGE(""https://docs.google.com/spreadsheets/d/1-uDff_7J0KD5mKrp0Vvzr7lt3OU09vwQwhkpOPPYv2Y/edit?usp=sharing"",""งบพรบ!AP17"")"),0)</f>
        <v>0</v>
      </c>
      <c r="M80" s="224">
        <f ca="1">IFERROR(__xludf.DUMMYFUNCTION("IMPORTRANGE(""https://docs.google.com/spreadsheets/d/1-uDff_7J0KD5mKrp0Vvzr7lt3OU09vwQwhkpOPPYv2Y/edit?usp=sharing"",""งบพรบ!AS17"")"),0)</f>
        <v>0</v>
      </c>
      <c r="N80" s="224">
        <f ca="1">IFERROR(__xludf.DUMMYFUNCTION("IMPORTRANGE(""https://docs.google.com/spreadsheets/d/1-uDff_7J0KD5mKrp0Vvzr7lt3OU09vwQwhkpOPPYv2Y/edit?usp=sharing"",""งบพรบ!AU17"")"),0)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IFERROR(__xludf.DUMMYFUNCTION("IMPORTRANGE(""https://docs.google.com/spreadsheets/d/1ItG2mGa2ceCfYo0BwxsXqNm01IGEUdYcSSLTEv9YCik/edit?usp=sharing"",""เบิกจ่ายกองทุน!BK17"")"),0)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IFERROR(__xludf.DUMMYFUNCTION("IMPORTRANGE(""https://docs.google.com/spreadsheets/d/1ItG2mGa2ceCfYo0BwxsXqNm01IGEUdYcSSLTEv9YCik/edit?usp=sharing"",""เบิกจ่ายกองทุน!BL17"")"),0)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IFERROR(__xludf.DUMMYFUNCTION("IMPORTRANGE(""https://docs.google.com/spreadsheets/d/1ItG2mGa2ceCfYo0BwxsXqNm01IGEUdYcSSLTEv9YCik/edit?usp=sharing"",""เบิกจ่ายกองทุน!BM17"")"),0)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IFERROR(__xludf.DUMMYFUNCTION("IMPORTRANGE(""https://docs.google.com/spreadsheets/d/1eHaY18a8A9IcSdp1K8H6x8fbOy06t2VsZHhMHf-1x7Y/edit?usp=sharing"",""แผน!H17"")"),0)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IFERROR(__xludf.DUMMYFUNCTION("IMPORTRANGE(""https://docs.google.com/spreadsheets/d/1eHaY18a8A9IcSdp1K8H6x8fbOy06t2VsZHhMHf-1x7Y/edit?usp=sharing"",""แผน!I17"")"),0)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IFERROR(__xludf.DUMMYFUNCTION("IMPORTRANGE(""https://docs.google.com/spreadsheets/d/1eHaY18a8A9IcSdp1K8H6x8fbOy06t2VsZHhMHf-1x7Y/edit?usp=sharing"",""แผน!F17"")"),0)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IFERROR(__xludf.DUMMYFUNCTION("IMPORTRANGE(""https://docs.google.com/spreadsheets/d/1eHaY18a8A9IcSdp1K8H6x8fbOy06t2VsZHhMHf-1x7Y/edit?usp=sharing"",""แผน!G17"")"),0)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IFERROR(__xludf.DUMMYFUNCTION("IMPORTRANGE(""https://docs.google.com/spreadsheets/d/1eHaY18a8A9IcSdp1K8H6x8fbOy06t2VsZHhMHf-1x7Y/edit?usp=sharing"",""แผน!D17"")"),0)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IFERROR(__xludf.DUMMYFUNCTION("IMPORTRANGE(""https://docs.google.com/spreadsheets/d/1eHaY18a8A9IcSdp1K8H6x8fbOy06t2VsZHhMHf-1x7Y/edit?usp=sharing"",""แผน!E17"")"),0)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IFERROR(__xludf.DUMMYFUNCTION("IMPORTRANGE(""https://docs.google.com/spreadsheets/d/1eHaY18a8A9IcSdp1K8H6x8fbOy06t2VsZHhMHf-1x7Y/edit?usp=sharing"",""แผน!J17"")"),0)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IFERROR(__xludf.DUMMYFUNCTION("IMPORTRANGE(""https://docs.google.com/spreadsheets/d/1-uDff_7J0KD5mKrp0Vvzr7lt3OU09vwQwhkpOPPYv2Y/edit?usp=sharing"",""งบพรบ!AW17"")"),0)</f>
        <v>0</v>
      </c>
      <c r="M99" s="224">
        <f ca="1">IFERROR(__xludf.DUMMYFUNCTION("IMPORTRANGE(""https://docs.google.com/spreadsheets/d/1-uDff_7J0KD5mKrp0Vvzr7lt3OU09vwQwhkpOPPYv2Y/edit?usp=sharing"",""งบพรบ!BB17"")"),0)</f>
        <v>0</v>
      </c>
      <c r="N99" s="224">
        <f ca="1">IFERROR(__xludf.DUMMYFUNCTION("IMPORTRANGE(""https://docs.google.com/spreadsheets/d/1-uDff_7J0KD5mKrp0Vvzr7lt3OU09vwQwhkpOPPYv2Y/edit?usp=sharing"",""งบพรบ!BD17"")"),0)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IFERROR(__xludf.DUMMYFUNCTION("IMPORTRANGE(""https://docs.google.com/spreadsheets/d/1ItG2mGa2ceCfYo0BwxsXqNm01IGEUdYcSSLTEv9YCik/edit?usp=sharing"",""เบิกจ่ายกองทุน!AJ17"")"),0)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IFERROR(__xludf.DUMMYFUNCTION("IMPORTRANGE(""https://docs.google.com/spreadsheets/d/1ItG2mGa2ceCfYo0BwxsXqNm01IGEUdYcSSLTEv9YCik/edit?usp=sharing"",""เบิกจ่ายกองทุน!AK17"")"),0)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IFERROR(__xludf.DUMMYFUNCTION("IMPORTRANGE(""https://docs.google.com/spreadsheets/d/1ItG2mGa2ceCfYo0BwxsXqNm01IGEUdYcSSLTEv9YCik/edit?usp=sharing"",""เบิกจ่ายกองทุน!AL17"")"),0)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IFERROR(__xludf.DUMMYFUNCTION("IMPORTRANGE(""https://docs.google.com/spreadsheets/d/1-uDff_7J0KD5mKrp0Vvzr7lt3OU09vwQwhkpOPPYv2Y/edit?usp=sharing"",""งบพรบ!AZ17"")"),0)</f>
        <v>0</v>
      </c>
      <c r="M102" s="224">
        <f ca="1">IFERROR(__xludf.DUMMYFUNCTION("IMPORTRANGE(""https://docs.google.com/spreadsheets/d/1-uDff_7J0KD5mKrp0Vvzr7lt3OU09vwQwhkpOPPYv2Y/edit?usp=sharing"",""งบพรบ!BC17"")"),0)</f>
        <v>0</v>
      </c>
      <c r="N102" s="224">
        <f ca="1">IFERROR(__xludf.DUMMYFUNCTION("IMPORTRANGE(""https://docs.google.com/spreadsheets/d/1-uDff_7J0KD5mKrp0Vvzr7lt3OU09vwQwhkpOPPYv2Y/edit?usp=sharing"",""งบพรบ!BE17"")"),0)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IFERROR(__xludf.DUMMYFUNCTION("IMPORTRANGE(""https://docs.google.com/spreadsheets/d/1eHaY18a8A9IcSdp1K8H6x8fbOy06t2VsZHhMHf-1x7Y/edit?usp=sharing"",""แผน!N17"")"),0)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IFERROR(__xludf.DUMMYFUNCTION("IMPORTRANGE(""https://docs.google.com/spreadsheets/d/1eHaY18a8A9IcSdp1K8H6x8fbOy06t2VsZHhMHf-1x7Y/edit?usp=sharing"",""แผน!O17"")"),0)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IFERROR(__xludf.DUMMYFUNCTION("IMPORTRANGE(""https://docs.google.com/spreadsheets/d/1eHaY18a8A9IcSdp1K8H6x8fbOy06t2VsZHhMHf-1x7Y/edit?usp=sharing"",""แผน!R17"")"),0)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211520</v>
      </c>
      <c r="R117" s="547">
        <f ca="1">R118+R119</f>
        <v>211520</v>
      </c>
      <c r="S117" s="547">
        <f ca="1">S118+S119</f>
        <v>185519.14</v>
      </c>
      <c r="T117" s="547">
        <f ca="1">IF(Q117&gt;0,S117*100/Q117,0)</f>
        <v>87.707611573373683</v>
      </c>
      <c r="U117" s="547">
        <f ca="1">IF(R117&gt;0,S117*100/R117,0)</f>
        <v>87.707611573373683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211520</v>
      </c>
      <c r="R119" s="224">
        <f ca="1">R122+R125</f>
        <v>211520</v>
      </c>
      <c r="S119" s="224">
        <f ca="1">S122+S125</f>
        <v>185519.14</v>
      </c>
      <c r="T119" s="224">
        <f ca="1">IF(Q119&gt;0,S119*100/Q119,0)</f>
        <v>87.707611573373683</v>
      </c>
      <c r="U119" s="224">
        <f ca="1">IF(R119&gt;0,S119*100/R119,0)</f>
        <v>87.707611573373683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211520</v>
      </c>
      <c r="R120" s="224">
        <f ca="1">R121+R122</f>
        <v>211520</v>
      </c>
      <c r="S120" s="224">
        <f ca="1">S121+S122</f>
        <v>185519.14</v>
      </c>
      <c r="T120" s="224">
        <f ca="1">IF(Q120&gt;0,S120*100/Q120,0)</f>
        <v>87.707611573373683</v>
      </c>
      <c r="U120" s="224">
        <f ca="1">IF(R120&gt;0,S120*100/R120,0)</f>
        <v>87.707611573373683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IFERROR(__xludf.DUMMYFUNCTION("IMPORTRANGE(""https://docs.google.com/spreadsheets/d/1-uDff_7J0KD5mKrp0Vvzr7lt3OU09vwQwhkpOPPYv2Y/edit?usp=sharing"",""งบพรบ!BG17"")"),0)</f>
        <v>0</v>
      </c>
      <c r="M122" s="224">
        <f ca="1">IFERROR(__xludf.DUMMYFUNCTION("IMPORTRANGE(""https://docs.google.com/spreadsheets/d/1-uDff_7J0KD5mKrp0Vvzr7lt3OU09vwQwhkpOPPYv2Y/edit?usp=sharing"",""งบพรบ!BL17"")"),0)</f>
        <v>0</v>
      </c>
      <c r="N122" s="224">
        <f ca="1">IFERROR(__xludf.DUMMYFUNCTION("IMPORTRANGE(""https://docs.google.com/spreadsheets/d/1-uDff_7J0KD5mKrp0Vvzr7lt3OU09vwQwhkpOPPYv2Y/edit?usp=sharing"",""งบพรบ!BN17"")"),0)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IFERROR(__xludf.DUMMYFUNCTION("IMPORTRANGE(""https://docs.google.com/spreadsheets/d/1ItG2mGa2ceCfYo0BwxsXqNm01IGEUdYcSSLTEv9YCik/edit?usp=sharing"",""เบิกจ่ายกองทุน!U17"")"),211520)</f>
        <v>211520</v>
      </c>
      <c r="R122" s="224">
        <f ca="1">IFERROR(__xludf.DUMMYFUNCTION("IMPORTRANGE(""https://docs.google.com/spreadsheets/d/1ItG2mGa2ceCfYo0BwxsXqNm01IGEUdYcSSLTEv9YCik/edit?usp=sharing"",""เบิกจ่ายกองทุน!V17"")"),211520)</f>
        <v>211520</v>
      </c>
      <c r="S122" s="224">
        <f ca="1">IFERROR(__xludf.DUMMYFUNCTION("IMPORTRANGE(""https://docs.google.com/spreadsheets/d/1ItG2mGa2ceCfYo0BwxsXqNm01IGEUdYcSSLTEv9YCik/edit?usp=sharing"",""เบิกจ่ายกองทุน!W17"")"),185519.14)</f>
        <v>185519.14</v>
      </c>
      <c r="T122" s="224">
        <f ca="1">IF(Q122&gt;0,S122*100/Q122,0)</f>
        <v>87.707611573373683</v>
      </c>
      <c r="U122" s="224">
        <f ca="1">IF(R122&gt;0,S122*100/R122,0)</f>
        <v>87.707611573373683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IFERROR(__xludf.DUMMYFUNCTION("IMPORTRANGE(""https://docs.google.com/spreadsheets/d/1-uDff_7J0KD5mKrp0Vvzr7lt3OU09vwQwhkpOPPYv2Y/edit?usp=sharing"",""งบพรบ!BJ17"")"),0)</f>
        <v>0</v>
      </c>
      <c r="M125" s="224">
        <f ca="1">IFERROR(__xludf.DUMMYFUNCTION("IMPORTRANGE(""https://docs.google.com/spreadsheets/d/1-uDff_7J0KD5mKrp0Vvzr7lt3OU09vwQwhkpOPPYv2Y/edit?usp=sharing"",""งบพรบ!BM17"")"),0)</f>
        <v>0</v>
      </c>
      <c r="N125" s="224">
        <f ca="1">IFERROR(__xludf.DUMMYFUNCTION("IMPORTRANGE(""https://docs.google.com/spreadsheets/d/1-uDff_7J0KD5mKrp0Vvzr7lt3OU09vwQwhkpOPPYv2Y/edit?usp=sharing"",""งบพรบ!BO17"")"),0)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IFERROR(__xludf.DUMMYFUNCTION("IMPORTRANGE(""https://docs.google.com/spreadsheets/d/1ItG2mGa2ceCfYo0BwxsXqNm01IGEUdYcSSLTEv9YCik/edit?usp=sharing"",""เบิกจ่ายกองทุน!X17"")"),0)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IFERROR(__xludf.DUMMYFUNCTION("IMPORTRANGE(""https://docs.google.com/spreadsheets/d/1ItG2mGa2ceCfYo0BwxsXqNm01IGEUdYcSSLTEv9YCik/edit?usp=sharing"",""เบิกจ่ายกองทุน!Y17"")"),0)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IFERROR(__xludf.DUMMYFUNCTION("IMPORTRANGE(""https://docs.google.com/spreadsheets/d/1ItG2mGa2ceCfYo0BwxsXqNm01IGEUdYcSSLTEv9YCik/edit?usp=sharing"",""เบิกจ่ายกองทุน!Z17"")"),0)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IFERROR(__xludf.DUMMYFUNCTION("IMPORTRANGE(""https://docs.google.com/spreadsheets/d/1eHaY18a8A9IcSdp1K8H6x8fbOy06t2VsZHhMHf-1x7Y/edit?usp=sharing"",""แผน!FF17"")"),20)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IFERROR(__xludf.DUMMYFUNCTION("IMPORTRANGE(""https://docs.google.com/spreadsheets/d/1eHaY18a8A9IcSdp1K8H6x8fbOy06t2VsZHhMHf-1x7Y/edit?usp=sharing"",""แผน!FG17"")"),2)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IFERROR(__xludf.DUMMYFUNCTION("IMPORTRANGE(""https://docs.google.com/spreadsheets/d/1eHaY18a8A9IcSdp1K8H6x8fbOy06t2VsZHhMHf-1x7Y/edit?usp=sharing"",""แผน!FH17"")"),20)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IFERROR(__xludf.DUMMYFUNCTION("IMPORTRANGE(""https://docs.google.com/spreadsheets/d/1eHaY18a8A9IcSdp1K8H6x8fbOy06t2VsZHhMHf-1x7Y/edit?usp=sharing"",""แผน!FI17"")"),2)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115700</v>
      </c>
      <c r="M139" s="547">
        <f ca="1">M140+M141</f>
        <v>110700</v>
      </c>
      <c r="N139" s="547">
        <f ca="1">N140+N141</f>
        <v>110700</v>
      </c>
      <c r="O139" s="547">
        <f ca="1">IF(L139&gt;0,N139*100/L139,0)</f>
        <v>95.678478824546247</v>
      </c>
      <c r="P139" s="547">
        <f ca="1">IF(M139&gt;0,N139*100/M139,0)</f>
        <v>100</v>
      </c>
      <c r="Q139" s="547">
        <f ca="1">Q140+Q141</f>
        <v>44860</v>
      </c>
      <c r="R139" s="547">
        <f ca="1">R140+R141</f>
        <v>44860</v>
      </c>
      <c r="S139" s="547">
        <f ca="1">S140+S141</f>
        <v>14263</v>
      </c>
      <c r="T139" s="547">
        <f ca="1">IF(Q139&gt;0,S139*100/Q139,0)</f>
        <v>31.794471689701293</v>
      </c>
      <c r="U139" s="547">
        <f ca="1">IF(R139&gt;0,S139*100/R139,0)</f>
        <v>31.794471689701293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115700</v>
      </c>
      <c r="M141" s="224">
        <f ca="1">M144+M147</f>
        <v>110700</v>
      </c>
      <c r="N141" s="224">
        <f ca="1">N144+N147</f>
        <v>110700</v>
      </c>
      <c r="O141" s="224">
        <f ca="1">IF(L141&gt;0,N141*100/L141,0)</f>
        <v>95.678478824546247</v>
      </c>
      <c r="P141" s="224">
        <f ca="1">IF(M141&gt;0,N141*100/M141,0)</f>
        <v>100</v>
      </c>
      <c r="Q141" s="224">
        <f ca="1">Q144+Q147</f>
        <v>44860</v>
      </c>
      <c r="R141" s="224">
        <f ca="1">R144+R147</f>
        <v>44860</v>
      </c>
      <c r="S141" s="224">
        <f ca="1">S144+S147</f>
        <v>14263</v>
      </c>
      <c r="T141" s="224">
        <f ca="1">IF(Q141&gt;0,S141*100/Q141,0)</f>
        <v>31.794471689701293</v>
      </c>
      <c r="U141" s="224">
        <f ca="1">IF(R141&gt;0,S141*100/R141,0)</f>
        <v>31.794471689701293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115700</v>
      </c>
      <c r="M142" s="224">
        <f ca="1">M143+M144</f>
        <v>110700</v>
      </c>
      <c r="N142" s="224">
        <f ca="1">N143+N144</f>
        <v>110700</v>
      </c>
      <c r="O142" s="224">
        <f ca="1">IF(L142&gt;0,N142*100/L142,0)</f>
        <v>95.678478824546247</v>
      </c>
      <c r="P142" s="224">
        <f ca="1">IF(M142&gt;0,N142*100/M142,0)</f>
        <v>100</v>
      </c>
      <c r="Q142" s="224">
        <f ca="1">Q143+Q144</f>
        <v>44860</v>
      </c>
      <c r="R142" s="224">
        <f ca="1">R143+R144</f>
        <v>44860</v>
      </c>
      <c r="S142" s="224">
        <f ca="1">S143+S144</f>
        <v>14263</v>
      </c>
      <c r="T142" s="224">
        <f ca="1">IF(Q142&gt;0,S142*100/Q142,0)</f>
        <v>31.794471689701293</v>
      </c>
      <c r="U142" s="224">
        <f ca="1">IF(R142&gt;0,S142*100/R142,0)</f>
        <v>31.794471689701293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IFERROR(__xludf.DUMMYFUNCTION("IMPORTRANGE(""https://docs.google.com/spreadsheets/d/1-uDff_7J0KD5mKrp0Vvzr7lt3OU09vwQwhkpOPPYv2Y/edit?usp=sharing"",""งบพรบ!BQ17"")"),115700)</f>
        <v>115700</v>
      </c>
      <c r="M144" s="224">
        <f ca="1">IFERROR(__xludf.DUMMYFUNCTION("IMPORTRANGE(""https://docs.google.com/spreadsheets/d/1-uDff_7J0KD5mKrp0Vvzr7lt3OU09vwQwhkpOPPYv2Y/edit?usp=sharing"",""งบพรบ!BV17"")"),110700)</f>
        <v>110700</v>
      </c>
      <c r="N144" s="224">
        <f ca="1">IFERROR(__xludf.DUMMYFUNCTION("IMPORTRANGE(""https://docs.google.com/spreadsheets/d/1-uDff_7J0KD5mKrp0Vvzr7lt3OU09vwQwhkpOPPYv2Y/edit?usp=sharing"",""งบพรบ!BX17"")"),110700)</f>
        <v>110700</v>
      </c>
      <c r="O144" s="224">
        <f ca="1">IF(L144&gt;0,N144*100/L144,0)</f>
        <v>95.678478824546247</v>
      </c>
      <c r="P144" s="224">
        <f ca="1">IF(M144&gt;0,N144*100/M144,0)</f>
        <v>100</v>
      </c>
      <c r="Q144" s="224">
        <f ca="1">IFERROR(__xludf.DUMMYFUNCTION("IMPORTRANGE(""https://docs.google.com/spreadsheets/d/1ItG2mGa2ceCfYo0BwxsXqNm01IGEUdYcSSLTEv9YCik/edit?usp=sharing"",""เบิกจ่ายกองทุน!CF17"")"),44860)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IFERROR(__xludf.DUMMYFUNCTION("IMPORTRANGE(""https://docs.google.com/spreadsheets/d/1ItG2mGa2ceCfYo0BwxsXqNm01IGEUdYcSSLTEv9YCik/edit?usp=sharing"",""เบิกจ่ายกองทุน!CG17"")"),44860)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IFERROR(__xludf.DUMMYFUNCTION("IMPORTRANGE(""https://docs.google.com/spreadsheets/d/1ItG2mGa2ceCfYo0BwxsXqNm01IGEUdYcSSLTEv9YCik/edit?usp=sharing"",""เบิกจ่ายกองทุน!CH17"")"),14263)</f>
        <v>14263</v>
      </c>
      <c r="T144" s="224">
        <f ca="1">IF(Q144&gt;0,S144*100/Q144,0)</f>
        <v>31.794471689701293</v>
      </c>
      <c r="U144" s="224">
        <f ca="1">IF(R144&gt;0,S144*100/R144,0)</f>
        <v>31.794471689701293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IFERROR(__xludf.DUMMYFUNCTION("IMPORTRANGE(""https://docs.google.com/spreadsheets/d/1-uDff_7J0KD5mKrp0Vvzr7lt3OU09vwQwhkpOPPYv2Y/edit?usp=sharing"",""งบพรบ!BT17"")"),0)</f>
        <v>0</v>
      </c>
      <c r="M147" s="224">
        <f ca="1">IFERROR(__xludf.DUMMYFUNCTION("IMPORTRANGE(""https://docs.google.com/spreadsheets/d/1-uDff_7J0KD5mKrp0Vvzr7lt3OU09vwQwhkpOPPYv2Y/edit?usp=sharing"",""งบพรบ!BW17"")"),0)</f>
        <v>0</v>
      </c>
      <c r="N147" s="224">
        <f ca="1">IFERROR(__xludf.DUMMYFUNCTION("IMPORTRANGE(""https://docs.google.com/spreadsheets/d/1-uDff_7J0KD5mKrp0Vvzr7lt3OU09vwQwhkpOPPYv2Y/edit?usp=sharing"",""งบพรบ!BY17"")"),0)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IFERROR(__xludf.DUMMYFUNCTION("IMPORTRANGE(""https://docs.google.com/spreadsheets/d/1ItG2mGa2ceCfYo0BwxsXqNm01IGEUdYcSSLTEv9YCik/edit?usp=sharing"",""เบิกจ่ายกองทุน!CI17"")"),0)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IFERROR(__xludf.DUMMYFUNCTION("IMPORTRANGE(""https://docs.google.com/spreadsheets/d/1ItG2mGa2ceCfYo0BwxsXqNm01IGEUdYcSSLTEv9YCik/edit?usp=sharing"",""เบิกจ่ายกองทุน!CJ17"")"),0)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IFERROR(__xludf.DUMMYFUNCTION("IMPORTRANGE(""https://docs.google.com/spreadsheets/d/1ItG2mGa2ceCfYo0BwxsXqNm01IGEUdYcSSLTEv9YCik/edit?usp=sharing"",""เบิกจ่ายกองทุน!CK17"")"),0)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IFERROR(__xludf.DUMMYFUNCTION("IMPORTRANGE(""https://docs.google.com/spreadsheets/d/1eHaY18a8A9IcSdp1K8H6x8fbOy06t2VsZHhMHf-1x7Y/edit?usp=sharing"",""แผน!U17"")"),0)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IFERROR(__xludf.DUMMYFUNCTION("IMPORTRANGE(""https://docs.google.com/spreadsheets/d/1eHaY18a8A9IcSdp1K8H6x8fbOy06t2VsZHhMHf-1x7Y/edit?usp=sharing"",""แผน!V17"")"),0)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IFERROR(__xludf.DUMMYFUNCTION("IMPORTRANGE(""https://docs.google.com/spreadsheets/d/1eHaY18a8A9IcSdp1K8H6x8fbOy06t2VsZHhMHf-1x7Y/edit?usp=sharing"",""แผน!W17"")"),20)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IFERROR(__xludf.DUMMYFUNCTION("IMPORTRANGE(""https://docs.google.com/spreadsheets/d/1eHaY18a8A9IcSdp1K8H6x8fbOy06t2VsZHhMHf-1x7Y/edit?usp=sharing"",""แผน!X17"")"),2)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IFERROR(__xludf.DUMMYFUNCTION("IMPORTRANGE(""https://docs.google.com/spreadsheets/d/1eHaY18a8A9IcSdp1K8H6x8fbOy06t2VsZHhMHf-1x7Y/edit?usp=sharing"",""แผน!Y17"")"),0)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24</v>
      </c>
      <c r="K156" s="755">
        <f ca="1">IF(I156&gt;0,J156*100/I156,0)</f>
        <v>160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3450</v>
      </c>
      <c r="N157" s="547">
        <f ca="1">N158+N159</f>
        <v>3274</v>
      </c>
      <c r="O157" s="547">
        <f ca="1">IF(L157&gt;0,N157*100/L157,0)</f>
        <v>72.75555555555556</v>
      </c>
      <c r="P157" s="547">
        <f ca="1">IF(M157&gt;0,N157*100/M157,0)</f>
        <v>94.898550724637687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3450</v>
      </c>
      <c r="N159" s="224">
        <f ca="1">N162+N165</f>
        <v>3274</v>
      </c>
      <c r="O159" s="224">
        <f ca="1">IF(L159&gt;0,N159*100/L159,0)</f>
        <v>72.75555555555556</v>
      </c>
      <c r="P159" s="224">
        <f ca="1">IF(M159&gt;0,N159*100/M159,0)</f>
        <v>94.898550724637687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3450</v>
      </c>
      <c r="N160" s="224">
        <f ca="1">N161+N162</f>
        <v>3274</v>
      </c>
      <c r="O160" s="224">
        <f ca="1">IF(L160&gt;0,N160*100/L160,0)</f>
        <v>72.75555555555556</v>
      </c>
      <c r="P160" s="224">
        <f ca="1">IF(M160&gt;0,N160*100/M160,0)</f>
        <v>94.898550724637687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IFERROR(__xludf.DUMMYFUNCTION("IMPORTRANGE(""https://docs.google.com/spreadsheets/d/1-uDff_7J0KD5mKrp0Vvzr7lt3OU09vwQwhkpOPPYv2Y/edit?usp=sharing"",""งบพรบ!CA17"")"),4500)</f>
        <v>4500</v>
      </c>
      <c r="M162" s="224">
        <f ca="1">IFERROR(__xludf.DUMMYFUNCTION("IMPORTRANGE(""https://docs.google.com/spreadsheets/d/1-uDff_7J0KD5mKrp0Vvzr7lt3OU09vwQwhkpOPPYv2Y/edit?usp=sharing"",""งบพรบ!CF17"")"),3450)</f>
        <v>3450</v>
      </c>
      <c r="N162" s="224">
        <f ca="1">IFERROR(__xludf.DUMMYFUNCTION("IMPORTRANGE(""https://docs.google.com/spreadsheets/d/1-uDff_7J0KD5mKrp0Vvzr7lt3OU09vwQwhkpOPPYv2Y/edit?usp=sharing"",""งบพรบ!CH17"")"),3274)</f>
        <v>3274</v>
      </c>
      <c r="O162" s="224">
        <f ca="1">IF(L162&gt;0,N162*100/L162,0)</f>
        <v>72.75555555555556</v>
      </c>
      <c r="P162" s="224">
        <f ca="1">IF(M162&gt;0,N162*100/M162,0)</f>
        <v>94.898550724637687</v>
      </c>
      <c r="Q162" s="224">
        <f ca="1">IFERROR(__xludf.DUMMYFUNCTION("IMPORTRANGE(""https://docs.google.com/spreadsheets/d/1ItG2mGa2ceCfYo0BwxsXqNm01IGEUdYcSSLTEv9YCik/edit?usp=sharing"",""เบิกจ่ายกองทุน!AM17"")"),0)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IFERROR(__xludf.DUMMYFUNCTION("IMPORTRANGE(""https://docs.google.com/spreadsheets/d/1ItG2mGa2ceCfYo0BwxsXqNm01IGEUdYcSSLTEv9YCik/edit?usp=sharing"",""เบิกจ่ายกองทุน!AO17"")"),0)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IFERROR(__xludf.DUMMYFUNCTION("IMPORTRANGE(""https://docs.google.com/spreadsheets/d/1-uDff_7J0KD5mKrp0Vvzr7lt3OU09vwQwhkpOPPYv2Y/edit?usp=sharing"",""งบพรบ!CD17"")"),0)</f>
        <v>0</v>
      </c>
      <c r="M165" s="224">
        <f ca="1">IFERROR(__xludf.DUMMYFUNCTION("IMPORTRANGE(""https://docs.google.com/spreadsheets/d/1-uDff_7J0KD5mKrp0Vvzr7lt3OU09vwQwhkpOPPYv2Y/edit?usp=sharing"",""งบพรบ!CG17"")"),0)</f>
        <v>0</v>
      </c>
      <c r="N165" s="224">
        <f ca="1">IFERROR(__xludf.DUMMYFUNCTION("IMPORTRANGE(""https://docs.google.com/spreadsheets/d/1-uDff_7J0KD5mKrp0Vvzr7lt3OU09vwQwhkpOPPYv2Y/edit?usp=sharing"",""งบพรบ!CI17"")"),0)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IFERROR(__xludf.DUMMYFUNCTION("IMPORTRANGE(""https://docs.google.com/spreadsheets/d/1eHaY18a8A9IcSdp1K8H6x8fbOy06t2VsZHhMHf-1x7Y/edit?usp=sharing"",""แผน!Z17"")"),15)</f>
        <v>15</v>
      </c>
      <c r="J167" s="380">
        <v>24</v>
      </c>
      <c r="K167" s="224">
        <f ca="1">IF(I167&gt;0,J167*100/I167,0)</f>
        <v>160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38220</v>
      </c>
      <c r="N173" s="547">
        <f ca="1">N174+N175</f>
        <v>38220</v>
      </c>
      <c r="O173" s="547">
        <f ca="1">IF(L173&gt;0,N173*100/L173,0)</f>
        <v>195.09954058192955</v>
      </c>
      <c r="P173" s="547">
        <f ca="1">IF(M173&gt;0,N173*100/M173,0)</f>
        <v>100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38220</v>
      </c>
      <c r="N175" s="224">
        <f ca="1">N178+N181</f>
        <v>38220</v>
      </c>
      <c r="O175" s="224">
        <f ca="1">IF(L175&gt;0,N175*100/L175,0)</f>
        <v>195.09954058192955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38220</v>
      </c>
      <c r="N176" s="224">
        <f ca="1">N177+N178</f>
        <v>38220</v>
      </c>
      <c r="O176" s="224">
        <f ca="1">IF(L176&gt;0,N176*100/L176,0)</f>
        <v>195.09954058192955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IFERROR(__xludf.DUMMYFUNCTION("IMPORTRANGE(""https://docs.google.com/spreadsheets/d/1-uDff_7J0KD5mKrp0Vvzr7lt3OU09vwQwhkpOPPYv2Y/edit?usp=sharing"",""งบพรบ!CK17"")"),19590)</f>
        <v>19590</v>
      </c>
      <c r="M178" s="224">
        <f ca="1">IFERROR(__xludf.DUMMYFUNCTION("IMPORTRANGE(""https://docs.google.com/spreadsheets/d/1-uDff_7J0KD5mKrp0Vvzr7lt3OU09vwQwhkpOPPYv2Y/edit?usp=sharing"",""งบพรบ!CP17"")"),38220)</f>
        <v>38220</v>
      </c>
      <c r="N178" s="224">
        <f ca="1">IFERROR(__xludf.DUMMYFUNCTION("IMPORTRANGE(""https://docs.google.com/spreadsheets/d/1-uDff_7J0KD5mKrp0Vvzr7lt3OU09vwQwhkpOPPYv2Y/edit?usp=sharing"",""งบพรบ!CR17"")"),38220)</f>
        <v>38220</v>
      </c>
      <c r="O178" s="224">
        <f ca="1">IF(L178&gt;0,N178*100/L178,0)</f>
        <v>195.09954058192955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IFERROR(__xludf.DUMMYFUNCTION("IMPORTRANGE(""https://docs.google.com/spreadsheets/d/1ItG2mGa2ceCfYo0BwxsXqNm01IGEUdYcSSLTEv9YCik/edit?usp=sharing"",""เบิกจ่ายกองทุน!DG17"")"),0)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IFERROR(__xludf.DUMMYFUNCTION("IMPORTRANGE(""https://docs.google.com/spreadsheets/d/1ItG2mGa2ceCfYo0BwxsXqNm01IGEUdYcSSLTEv9YCik/edit?usp=sharing"",""เบิกจ่ายกองทุน!DH17"")"),0)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IFERROR(__xludf.DUMMYFUNCTION("IMPORTRANGE(""https://docs.google.com/spreadsheets/d/1ItG2mGa2ceCfYo0BwxsXqNm01IGEUdYcSSLTEv9YCik/edit?usp=sharing"",""เบิกจ่ายกองทุน!DI17"")"),0)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IFERROR(__xludf.DUMMYFUNCTION("IMPORTRANGE(""https://docs.google.com/spreadsheets/d/1-uDff_7J0KD5mKrp0Vvzr7lt3OU09vwQwhkpOPPYv2Y/edit?usp=sharing"",""งบพรบ!CN17"")"),0)</f>
        <v>0</v>
      </c>
      <c r="M181" s="224">
        <f ca="1">IFERROR(__xludf.DUMMYFUNCTION("IMPORTRANGE(""https://docs.google.com/spreadsheets/d/1-uDff_7J0KD5mKrp0Vvzr7lt3OU09vwQwhkpOPPYv2Y/edit?usp=sharing"",""งบพรบ!CQ17"")"),0)</f>
        <v>0</v>
      </c>
      <c r="N181" s="224">
        <f ca="1">IFERROR(__xludf.DUMMYFUNCTION("IMPORTRANGE(""https://docs.google.com/spreadsheets/d/1-uDff_7J0KD5mKrp0Vvzr7lt3OU09vwQwhkpOPPYv2Y/edit?usp=sharing"",""งบพรบ!CS17"")"),0)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IFERROR(__xludf.DUMMYFUNCTION("IMPORTRANGE(""https://docs.google.com/spreadsheets/d/1eHaY18a8A9IcSdp1K8H6x8fbOy06t2VsZHhMHf-1x7Y/edit?usp=sharing"",""แผน!AA17"")"),7)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224500</v>
      </c>
      <c r="M186" s="547">
        <f ca="1">M187+M188</f>
        <v>226500</v>
      </c>
      <c r="N186" s="547">
        <f ca="1">N187+N188</f>
        <v>206820</v>
      </c>
      <c r="O186" s="547">
        <f ca="1">IF(L186&gt;0,N186*100/L186,0)</f>
        <v>92.124721603563472</v>
      </c>
      <c r="P186" s="547">
        <f ca="1">IF(M186&gt;0,N186*100/M186,0)</f>
        <v>91.311258278145701</v>
      </c>
      <c r="Q186" s="547">
        <f ca="1">Q187+Q188</f>
        <v>28000</v>
      </c>
      <c r="R186" s="547">
        <f ca="1">R187+R188</f>
        <v>28000</v>
      </c>
      <c r="S186" s="547">
        <f ca="1">S187+S188</f>
        <v>26780</v>
      </c>
      <c r="T186" s="547">
        <f ca="1">IF(Q186&gt;0,S186*100/Q186,0)</f>
        <v>95.642857142857139</v>
      </c>
      <c r="U186" s="547">
        <f ca="1">IF(R186&gt;0,S186*100/R186,0)</f>
        <v>95.642857142857139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224500</v>
      </c>
      <c r="M188" s="224">
        <f ca="1">M191+M194</f>
        <v>226500</v>
      </c>
      <c r="N188" s="224">
        <f ca="1">N191+N194</f>
        <v>206820</v>
      </c>
      <c r="O188" s="224">
        <f ca="1">IF(L188&gt;0,N188*100/L188,0)</f>
        <v>92.124721603563472</v>
      </c>
      <c r="P188" s="224">
        <f ca="1">IF(M188&gt;0,N188*100/M188,0)</f>
        <v>91.311258278145701</v>
      </c>
      <c r="Q188" s="224">
        <f ca="1">Q191+Q194</f>
        <v>28000</v>
      </c>
      <c r="R188" s="224">
        <f ca="1">R191+R194</f>
        <v>28000</v>
      </c>
      <c r="S188" s="224">
        <f ca="1">S191+S194</f>
        <v>26780</v>
      </c>
      <c r="T188" s="224">
        <f ca="1">IF(Q188&gt;0,S188*100/Q188,0)</f>
        <v>95.642857142857139</v>
      </c>
      <c r="U188" s="224">
        <f ca="1">IF(R188&gt;0,S188*100/R188,0)</f>
        <v>95.642857142857139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224500</v>
      </c>
      <c r="M189" s="224">
        <f ca="1">M190+M191</f>
        <v>226500</v>
      </c>
      <c r="N189" s="224">
        <f ca="1">N190+N191</f>
        <v>206820</v>
      </c>
      <c r="O189" s="224">
        <f ca="1">IF(L189&gt;0,N189*100/L189,0)</f>
        <v>92.124721603563472</v>
      </c>
      <c r="P189" s="224">
        <f ca="1">IF(M189&gt;0,N189*100/M189,0)</f>
        <v>91.311258278145701</v>
      </c>
      <c r="Q189" s="224">
        <f ca="1">Q190+Q191</f>
        <v>28000</v>
      </c>
      <c r="R189" s="224">
        <f ca="1">R190+R191</f>
        <v>28000</v>
      </c>
      <c r="S189" s="224">
        <f ca="1">S190+S191</f>
        <v>26780</v>
      </c>
      <c r="T189" s="224">
        <f ca="1">IF(Q189&gt;0,S189*100/Q189,0)</f>
        <v>95.642857142857139</v>
      </c>
      <c r="U189" s="224">
        <f ca="1">IF(R189&gt;0,S189*100/R189,0)</f>
        <v>95.642857142857139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IFERROR(__xludf.DUMMYFUNCTION("IMPORTRANGE(""https://docs.google.com/spreadsheets/d/1-uDff_7J0KD5mKrp0Vvzr7lt3OU09vwQwhkpOPPYv2Y/edit?usp=sharing"",""งบพรบ!CU17"")"),224500)</f>
        <v>224500</v>
      </c>
      <c r="M191" s="224">
        <f ca="1">IFERROR(__xludf.DUMMYFUNCTION("IMPORTRANGE(""https://docs.google.com/spreadsheets/d/1-uDff_7J0KD5mKrp0Vvzr7lt3OU09vwQwhkpOPPYv2Y/edit?usp=sharing"",""งบพรบ!CZ17"")"),226500)</f>
        <v>226500</v>
      </c>
      <c r="N191" s="224">
        <f ca="1">IFERROR(__xludf.DUMMYFUNCTION("IMPORTRANGE(""https://docs.google.com/spreadsheets/d/1-uDff_7J0KD5mKrp0Vvzr7lt3OU09vwQwhkpOPPYv2Y/edit?usp=sharing"",""งบพรบ!DB17"")"),206820)</f>
        <v>206820</v>
      </c>
      <c r="O191" s="224">
        <f ca="1">IF(L191&gt;0,N191*100/L191,0)</f>
        <v>92.124721603563472</v>
      </c>
      <c r="P191" s="224">
        <f ca="1">IF(M191&gt;0,N191*100/M191,0)</f>
        <v>91.311258278145701</v>
      </c>
      <c r="Q191" s="224">
        <f ca="1">IFERROR(__xludf.DUMMYFUNCTION("IMPORTRANGE(""https://docs.google.com/spreadsheets/d/1ItG2mGa2ceCfYo0BwxsXqNm01IGEUdYcSSLTEv9YCik/edit?usp=sharing"",""เบิกจ่ายกองทุน!BQ17"")"),28000)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IFERROR(__xludf.DUMMYFUNCTION("IMPORTRANGE(""https://docs.google.com/spreadsheets/d/1ItG2mGa2ceCfYo0BwxsXqNm01IGEUdYcSSLTEv9YCik/edit?usp=sharing"",""เบิกจ่ายกองทุน!BR17"")"),28000)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IFERROR(__xludf.DUMMYFUNCTION("IMPORTRANGE(""https://docs.google.com/spreadsheets/d/1ItG2mGa2ceCfYo0BwxsXqNm01IGEUdYcSSLTEv9YCik/edit?usp=sharing"",""เบิกจ่ายกองทุน!BS17"")"),26780)</f>
        <v>26780</v>
      </c>
      <c r="T191" s="224">
        <f ca="1">IF(Q191&gt;0,S191*100/Q191,0)</f>
        <v>95.642857142857139</v>
      </c>
      <c r="U191" s="224">
        <f ca="1">IF(R191&gt;0,S191*100/R191,0)</f>
        <v>95.642857142857139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IFERROR(__xludf.DUMMYFUNCTION("IMPORTRANGE(""https://docs.google.com/spreadsheets/d/1-uDff_7J0KD5mKrp0Vvzr7lt3OU09vwQwhkpOPPYv2Y/edit?usp=sharing"",""งบพรบ!CX17"")"),0)</f>
        <v>0</v>
      </c>
      <c r="M194" s="224">
        <f ca="1">IFERROR(__xludf.DUMMYFUNCTION("IMPORTRANGE(""https://docs.google.com/spreadsheets/d/1-uDff_7J0KD5mKrp0Vvzr7lt3OU09vwQwhkpOPPYv2Y/edit?usp=sharing"",""งบพรบ!DA17"")"),0)</f>
        <v>0</v>
      </c>
      <c r="N194" s="224">
        <f ca="1">IFERROR(__xludf.DUMMYFUNCTION("IMPORTRANGE(""https://docs.google.com/spreadsheets/d/1-uDff_7J0KD5mKrp0Vvzr7lt3OU09vwQwhkpOPPYv2Y/edit?usp=sharing"",""งบพรบ!DC17"")"),0)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IFERROR(__xludf.DUMMYFUNCTION("IMPORTRANGE(""https://docs.google.com/spreadsheets/d/1ItG2mGa2ceCfYo0BwxsXqNm01IGEUdYcSSLTEv9YCik/edit?usp=sharing"",""เบิกจ่ายกองทุน!BT17"")"),0)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IFERROR(__xludf.DUMMYFUNCTION("IMPORTRANGE(""https://docs.google.com/spreadsheets/d/1ItG2mGa2ceCfYo0BwxsXqNm01IGEUdYcSSLTEv9YCik/edit?usp=sharing"",""เบิกจ่ายกองทุน!BU17"")"),0)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IFERROR(__xludf.DUMMYFUNCTION("IMPORTRANGE(""https://docs.google.com/spreadsheets/d/1ItG2mGa2ceCfYo0BwxsXqNm01IGEUdYcSSLTEv9YCik/edit?usp=sharing"",""เบิกจ่ายกองทุน!BV17"")"),0)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IFERROR(__xludf.DUMMYFUNCTION("IMPORTRANGE(""https://docs.google.com/spreadsheets/d/1eHaY18a8A9IcSdp1K8H6x8fbOy06t2VsZHhMHf-1x7Y/edit?usp=sharing"",""แผน!AB17"")"),6000)</f>
        <v>6000</v>
      </c>
      <c r="M196" s="45"/>
      <c r="N196" s="749">
        <v>2480</v>
      </c>
      <c r="O196" s="547">
        <f ca="1">IF(L196&gt;0,N196*100/L196,0)</f>
        <v>41.333333333333336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IFERROR(__xludf.DUMMYFUNCTION("IMPORTRANGE(""https://docs.google.com/spreadsheets/d/1eHaY18a8A9IcSdp1K8H6x8fbOy06t2VsZHhMHf-1x7Y/edit?usp=sharing"",""แผน!AE17"")"),4)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55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55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28000</v>
      </c>
      <c r="M203" s="45"/>
      <c r="N203" s="547">
        <f>N204+N205+N206+N207</f>
        <v>9000</v>
      </c>
      <c r="O203" s="547">
        <f ca="1">IF(L203&gt;0,N203*100/L203,0)</f>
        <v>32.142857142857146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IFERROR(__xludf.DUMMYFUNCTION("IMPORTRANGE(""https://docs.google.com/spreadsheets/d/1eHaY18a8A9IcSdp1K8H6x8fbOy06t2VsZHhMHf-1x7Y/edit?usp=sharing"",""แผน!AG17"")"),3000)</f>
        <v>3000</v>
      </c>
      <c r="M204" s="45"/>
      <c r="N204" s="737">
        <v>1120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IFERROR(__xludf.DUMMYFUNCTION("IMPORTRANGE(""https://docs.google.com/spreadsheets/d/1eHaY18a8A9IcSdp1K8H6x8fbOy06t2VsZHhMHf-1x7Y/edit?usp=sharing"",""แผน!AH17"")"),0)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IFERROR(__xludf.DUMMYFUNCTION("IMPORTRANGE(""https://docs.google.com/spreadsheets/d/1eHaY18a8A9IcSdp1K8H6x8fbOy06t2VsZHhMHf-1x7Y/edit?usp=sharing"",""แผน!AI17"")"),8000)</f>
        <v>8000</v>
      </c>
      <c r="M206" s="45"/>
      <c r="N206" s="737">
        <v>7880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IFERROR(__xludf.DUMMYFUNCTION("IMPORTRANGE(""https://docs.google.com/spreadsheets/d/1eHaY18a8A9IcSdp1K8H6x8fbOy06t2VsZHhMHf-1x7Y/edit?usp=sharing"",""แผน!LV17"")"),28000)</f>
        <v>28000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IFERROR(__xludf.DUMMYFUNCTION("IMPORTRANGE(""https://docs.google.com/spreadsheets/d/1eHaY18a8A9IcSdp1K8H6x8fbOy06t2VsZHhMHf-1x7Y/edit?usp=sharing"",""แผน!AJ17"")"),17000)</f>
        <v>17000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IFERROR(__xludf.DUMMYFUNCTION("IMPORTRANGE(""https://docs.google.com/spreadsheets/d/1eHaY18a8A9IcSdp1K8H6x8fbOy06t2VsZHhMHf-1x7Y/edit?usp=sharing"",""แผน!AK17"")"),3)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IFERROR(__xludf.DUMMYFUNCTION("IMPORTRANGE(""https://docs.google.com/spreadsheets/d/1eHaY18a8A9IcSdp1K8H6x8fbOy06t2VsZHhMHf-1x7Y/edit?usp=sharing"",""แผน!JX17"")"),3)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IFERROR(__xludf.DUMMYFUNCTION("IMPORTRANGE(""https://docs.google.com/spreadsheets/d/1eHaY18a8A9IcSdp1K8H6x8fbOy06t2VsZHhMHf-1x7Y/edit?usp=sharing"",""แผน!JY17"")"),1)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IFERROR(__xludf.DUMMYFUNCTION("IMPORTRANGE(""https://docs.google.com/spreadsheets/d/1eHaY18a8A9IcSdp1K8H6x8fbOy06t2VsZHhMHf-1x7Y/edit?usp=sharing"",""แผน!AM17"")"),0)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IFERROR(__xludf.DUMMYFUNCTION("IMPORTRANGE(""https://docs.google.com/spreadsheets/d/1eHaY18a8A9IcSdp1K8H6x8fbOy06t2VsZHhMHf-1x7Y/edit?usp=sharing"",""แผน!AN17"")"),0)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IFERROR(__xludf.DUMMYFUNCTION("IMPORTRANGE(""https://docs.google.com/spreadsheets/d/1eHaY18a8A9IcSdp1K8H6x8fbOy06t2VsZHhMHf-1x7Y/edit?usp=sharing"",""แผน!AO17"")"),0)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IFERROR(__xludf.DUMMYFUNCTION("IMPORTRANGE(""https://docs.google.com/spreadsheets/d/1eHaY18a8A9IcSdp1K8H6x8fbOy06t2VsZHhMHf-1x7Y/edit?usp=sharing"",""แผน!LY17"")"),0)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IFERROR(__xludf.DUMMYFUNCTION("IMPORTRANGE(""https://docs.google.com/spreadsheets/d/1eHaY18a8A9IcSdp1K8H6x8fbOy06t2VsZHhMHf-1x7Y/edit?usp=sharing"",""แผน!AP17"")"),0)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IFERROR(__xludf.DUMMYFUNCTION("IMPORTRANGE(""https://docs.google.com/spreadsheets/d/1eHaY18a8A9IcSdp1K8H6x8fbOy06t2VsZHhMHf-1x7Y/edit?usp=sharing"",""แผน!AP17"")"),0)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4340</v>
      </c>
      <c r="O222" s="547">
        <f ca="1">IF(L222&gt;0,N222*100/L222,0)</f>
        <v>51.058823529411768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IFERROR(__xludf.DUMMYFUNCTION("IMPORTRANGE(""https://docs.google.com/spreadsheets/d/1eHaY18a8A9IcSdp1K8H6x8fbOy06t2VsZHhMHf-1x7Y/edit?usp=sharing"",""แผน!AR17"")"),2500)</f>
        <v>2500</v>
      </c>
      <c r="M223" s="45"/>
      <c r="N223" s="737">
        <v>840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IFERROR(__xludf.DUMMYFUNCTION("IMPORTRANGE(""https://docs.google.com/spreadsheets/d/1eHaY18a8A9IcSdp1K8H6x8fbOy06t2VsZHhMHf-1x7Y/edit?usp=sharing"",""แผน!AS17"")"),6000)</f>
        <v>6000</v>
      </c>
      <c r="M224" s="45"/>
      <c r="N224" s="737">
        <v>3500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IFERROR(__xludf.DUMMYFUNCTION("IMPORTRANGE(""https://docs.google.com/spreadsheets/d/1eHaY18a8A9IcSdp1K8H6x8fbOy06t2VsZHhMHf-1x7Y/edit?usp=sharing"",""แผน!AT17"")"),0)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IFERROR(__xludf.DUMMYFUNCTION("IMPORTRANGE(""https://docs.google.com/spreadsheets/d/1eHaY18a8A9IcSdp1K8H6x8fbOy06t2VsZHhMHf-1x7Y/edit?usp=sharing"",""แผน!AV17"")"),50000)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IFERROR(__xludf.DUMMYFUNCTION("IMPORTRANGE(""https://docs.google.com/spreadsheets/d/1eHaY18a8A9IcSdp1K8H6x8fbOy06t2VsZHhMHf-1x7Y/edit?usp=sharing"",""แผน!AV17"")"),50000)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IFERROR(__xludf.DUMMYFUNCTION("IMPORTRANGE(""https://docs.google.com/spreadsheets/d/1eHaY18a8A9IcSdp1K8H6x8fbOy06t2VsZHhMHf-1x7Y/edit?usp=sharing"",""แผน!AU17"")"),0)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IFERROR(__xludf.DUMMYFUNCTION("IMPORTRANGE(""https://docs.google.com/spreadsheets/d/1eHaY18a8A9IcSdp1K8H6x8fbOy06t2VsZHhMHf-1x7Y/edit?usp=sharing"",""แผน!AX17"")"),0)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IFERROR(__xludf.DUMMYFUNCTION("IMPORTRANGE(""https://docs.google.com/spreadsheets/d/1eHaY18a8A9IcSdp1K8H6x8fbOy06t2VsZHhMHf-1x7Y/edit?usp=sharing"",""แผน!AY17"")"),0)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IFERROR(__xludf.DUMMYFUNCTION("IMPORTRANGE(""https://docs.google.com/spreadsheets/d/1eHaY18a8A9IcSdp1K8H6x8fbOy06t2VsZHhMHf-1x7Y/edit?usp=sharing"",""แผน!AZ17"")"),0)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IFERROR(__xludf.DUMMYFUNCTION("IMPORTRANGE(""https://docs.google.com/spreadsheets/d/1eHaY18a8A9IcSdp1K8H6x8fbOy06t2VsZHhMHf-1x7Y/edit?usp=sharing"",""แผน!BA17"")"),0)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IFERROR(__xludf.DUMMYFUNCTION("IMPORTRANGE(""https://docs.google.com/spreadsheets/d/1eHaY18a8A9IcSdp1K8H6x8fbOy06t2VsZHhMHf-1x7Y/edit?usp=sharing"",""แผน!BG17"")"),0)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IFERROR(__xludf.DUMMYFUNCTION("IMPORTRANGE(""https://docs.google.com/spreadsheets/d/1eHaY18a8A9IcSdp1K8H6x8fbOy06t2VsZHhMHf-1x7Y/edit?usp=sharing"",""แผน!BB17"")"),0)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IFERROR(__xludf.DUMMYFUNCTION("IMPORTRANGE(""https://docs.google.com/spreadsheets/d/1eHaY18a8A9IcSdp1K8H6x8fbOy06t2VsZHhMHf-1x7Y/edit?usp=sharing"",""แผน!BC17"")"),0)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IFERROR(__xludf.DUMMYFUNCTION("IMPORTRANGE(""https://docs.google.com/spreadsheets/d/1eHaY18a8A9IcSdp1K8H6x8fbOy06t2VsZHhMHf-1x7Y/edit?usp=sharing"",""แผน!BD17"")"),0)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IFERROR(__xludf.DUMMYFUNCTION("IMPORTRANGE(""https://docs.google.com/spreadsheets/d/1eHaY18a8A9IcSdp1K8H6x8fbOy06t2VsZHhMHf-1x7Y/edit?usp=sharing"",""แผน!BE17"")"),0)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IFERROR(__xludf.DUMMYFUNCTION("IMPORTRANGE(""https://docs.google.com/spreadsheets/d/1eHaY18a8A9IcSdp1K8H6x8fbOy06t2VsZHhMHf-1x7Y/edit?usp=sharing"",""แผน!BH17"")"),0)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19500</v>
      </c>
      <c r="N266" s="715">
        <f ca="1">N267+N268</f>
        <v>15420</v>
      </c>
      <c r="O266" s="715">
        <f ca="1">IF(L266&gt;0,N266*100/L266,0)</f>
        <v>308.39999999999998</v>
      </c>
      <c r="P266" s="715">
        <f ca="1">IF(M266&gt;0,N266*100/M266,0)</f>
        <v>79.07692307692308</v>
      </c>
      <c r="Q266" s="715">
        <f ca="1">Q267+Q268</f>
        <v>50660</v>
      </c>
      <c r="R266" s="715">
        <f ca="1">R267+R268</f>
        <v>50660</v>
      </c>
      <c r="S266" s="715">
        <f ca="1">S267+S268</f>
        <v>46260</v>
      </c>
      <c r="T266" s="715">
        <f ca="1">IF(Q266&gt;0,S266*100/Q266,0)</f>
        <v>91.31464666403474</v>
      </c>
      <c r="U266" s="715">
        <f ca="1">IF(R266&gt;0,S266*100/R266,0)</f>
        <v>91.31464666403474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19500</v>
      </c>
      <c r="N268" s="558">
        <f ca="1">N271+N274</f>
        <v>15420</v>
      </c>
      <c r="O268" s="558">
        <f ca="1">IF(L268&gt;0,N268*100/L268,0)</f>
        <v>308.39999999999998</v>
      </c>
      <c r="P268" s="558">
        <f ca="1">IF(M268&gt;0,N268*100/M268,0)</f>
        <v>79.07692307692308</v>
      </c>
      <c r="Q268" s="558">
        <f ca="1">Q271+Q274</f>
        <v>50660</v>
      </c>
      <c r="R268" s="558">
        <f ca="1">R271+R274</f>
        <v>50660</v>
      </c>
      <c r="S268" s="558">
        <f ca="1">S271+S274</f>
        <v>46260</v>
      </c>
      <c r="T268" s="558">
        <f ca="1">IF(Q268&gt;0,S268*100/Q268,0)</f>
        <v>91.31464666403474</v>
      </c>
      <c r="U268" s="558">
        <f ca="1">IF(R268&gt;0,S268*100/R268,0)</f>
        <v>91.31464666403474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19500</v>
      </c>
      <c r="N269" s="558">
        <f ca="1">N270+N271</f>
        <v>15420</v>
      </c>
      <c r="O269" s="558">
        <f ca="1">IF(L269&gt;0,N269*100/L269,0)</f>
        <v>308.39999999999998</v>
      </c>
      <c r="P269" s="558">
        <f ca="1">IF(M269&gt;0,N269*100/M269,0)</f>
        <v>79.07692307692308</v>
      </c>
      <c r="Q269" s="558">
        <f ca="1">Q270+Q271</f>
        <v>50660</v>
      </c>
      <c r="R269" s="558">
        <f ca="1">R270+R271</f>
        <v>50660</v>
      </c>
      <c r="S269" s="558">
        <f ca="1">S270+S271</f>
        <v>46260</v>
      </c>
      <c r="T269" s="558">
        <f ca="1">IF(Q269&gt;0,S269*100/Q269,0)</f>
        <v>91.31464666403474</v>
      </c>
      <c r="U269" s="558">
        <f ca="1">IF(R269&gt;0,S269*100/R269,0)</f>
        <v>91.31464666403474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IFERROR(__xludf.DUMMYFUNCTION("IMPORTRANGE(""https://docs.google.com/spreadsheets/d/1-uDff_7J0KD5mKrp0Vvzr7lt3OU09vwQwhkpOPPYv2Y/edit?usp=sharing"",""งบพรบ!DE17"")"),5000)</f>
        <v>5000</v>
      </c>
      <c r="M271" s="558">
        <f ca="1">IFERROR(__xludf.DUMMYFUNCTION("IMPORTRANGE(""https://docs.google.com/spreadsheets/d/1-uDff_7J0KD5mKrp0Vvzr7lt3OU09vwQwhkpOPPYv2Y/edit?usp=sharing"",""งบพรบ!DJ17"")"),19500)</f>
        <v>19500</v>
      </c>
      <c r="N271" s="558">
        <f ca="1">IFERROR(__xludf.DUMMYFUNCTION("IMPORTRANGE(""https://docs.google.com/spreadsheets/d/1-uDff_7J0KD5mKrp0Vvzr7lt3OU09vwQwhkpOPPYv2Y/edit?usp=sharing"",""งบพรบ!DL17"")"),15420)</f>
        <v>15420</v>
      </c>
      <c r="O271" s="558">
        <f ca="1">IF(L271&gt;0,N271*100/L271,0)</f>
        <v>308.39999999999998</v>
      </c>
      <c r="P271" s="558">
        <f ca="1">IF(M271&gt;0,N271*100/M271,0)</f>
        <v>79.07692307692308</v>
      </c>
      <c r="Q271" s="558">
        <f ca="1">IFERROR(__xludf.DUMMYFUNCTION("IMPORTRANGE(""https://docs.google.com/spreadsheets/d/1ItG2mGa2ceCfYo0BwxsXqNm01IGEUdYcSSLTEv9YCik/edit?usp=sharing"",""เบิกจ่ายกองทุน!AP17"")"),50660)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IFERROR(__xludf.DUMMYFUNCTION("IMPORTRANGE(""https://docs.google.com/spreadsheets/d/1ItG2mGa2ceCfYo0BwxsXqNm01IGEUdYcSSLTEv9YCik/edit?usp=sharing"",""เบิกจ่ายกองทุน!AQ17"")"),50660)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IFERROR(__xludf.DUMMYFUNCTION("IMPORTRANGE(""https://docs.google.com/spreadsheets/d/1ItG2mGa2ceCfYo0BwxsXqNm01IGEUdYcSSLTEv9YCik/edit?usp=sharing"",""เบิกจ่ายกองทุน!AR17"")"),46260)</f>
        <v>46260</v>
      </c>
      <c r="T271" s="558">
        <f ca="1">IF(Q271&gt;0,S271*100/Q271,0)</f>
        <v>91.31464666403474</v>
      </c>
      <c r="U271" s="558">
        <f ca="1">IF(R271&gt;0,S271*100/R271,0)</f>
        <v>91.31464666403474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IFERROR(__xludf.DUMMYFUNCTION("IMPORTRANGE(""https://docs.google.com/spreadsheets/d/1-uDff_7J0KD5mKrp0Vvzr7lt3OU09vwQwhkpOPPYv2Y/edit?usp=sharing"",""งบพรบ!DH17"")"),0)</f>
        <v>0</v>
      </c>
      <c r="M274" s="558">
        <f ca="1">IFERROR(__xludf.DUMMYFUNCTION("IMPORTRANGE(""https://docs.google.com/spreadsheets/d/1-uDff_7J0KD5mKrp0Vvzr7lt3OU09vwQwhkpOPPYv2Y/edit?usp=sharing"",""งบพรบ!DK17"")"),0)</f>
        <v>0</v>
      </c>
      <c r="N274" s="558">
        <f ca="1">IFERROR(__xludf.DUMMYFUNCTION("IMPORTRANGE(""https://docs.google.com/spreadsheets/d/1-uDff_7J0KD5mKrp0Vvzr7lt3OU09vwQwhkpOPPYv2Y/edit?usp=sharing"",""งบพรบ!DM17"")"),0)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IFERROR(__xludf.DUMMYFUNCTION("IMPORTRANGE(""https://docs.google.com/spreadsheets/d/1eHaY18a8A9IcSdp1K8H6x8fbOy06t2VsZHhMHf-1x7Y/edit?usp=sharing"",""แผน!EC17"")"),22)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20</v>
      </c>
      <c r="J280" s="697">
        <f>J293</f>
        <v>20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200</v>
      </c>
      <c r="J281" s="697">
        <f>J292</f>
        <v>200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71120</v>
      </c>
      <c r="M282" s="547">
        <f ca="1">M283+M284</f>
        <v>80950</v>
      </c>
      <c r="N282" s="547">
        <f ca="1">N283+N284</f>
        <v>73220</v>
      </c>
      <c r="O282" s="547">
        <f ca="1">IF(L282&gt;0,N282*100/L282,0)</f>
        <v>102.95275590551181</v>
      </c>
      <c r="P282" s="547">
        <f ca="1">IF(M282&gt;0,N282*100/M282,0)</f>
        <v>90.450895614576893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71120</v>
      </c>
      <c r="M284" s="224">
        <f ca="1">M287+M290</f>
        <v>80950</v>
      </c>
      <c r="N284" s="224">
        <f ca="1">N287+N290</f>
        <v>73220</v>
      </c>
      <c r="O284" s="224">
        <f ca="1">IF(L284&gt;0,N284*100/L284,0)</f>
        <v>102.95275590551181</v>
      </c>
      <c r="P284" s="224">
        <f ca="1">IF(M284&gt;0,N284*100/M284,0)</f>
        <v>90.450895614576893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71120</v>
      </c>
      <c r="M285" s="224">
        <f ca="1">M286+M287</f>
        <v>80950</v>
      </c>
      <c r="N285" s="224">
        <f ca="1">N286+N287</f>
        <v>73220</v>
      </c>
      <c r="O285" s="224">
        <f ca="1">IF(L285&gt;0,N285*100/L285,0)</f>
        <v>102.95275590551181</v>
      </c>
      <c r="P285" s="224">
        <f ca="1">IF(M285&gt;0,N285*100/M285,0)</f>
        <v>90.450895614576893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IFERROR(__xludf.DUMMYFUNCTION("IMPORTRANGE(""https://docs.google.com/spreadsheets/d/1-uDff_7J0KD5mKrp0Vvzr7lt3OU09vwQwhkpOPPYv2Y/edit?usp=sharing"",""งบพรบ!DO17"")"),71120)</f>
        <v>71120</v>
      </c>
      <c r="M287" s="224">
        <f ca="1">IFERROR(__xludf.DUMMYFUNCTION("IMPORTRANGE(""https://docs.google.com/spreadsheets/d/1-uDff_7J0KD5mKrp0Vvzr7lt3OU09vwQwhkpOPPYv2Y/edit?usp=sharing"",""งบพรบ!DT17"")"),80950)</f>
        <v>80950</v>
      </c>
      <c r="N287" s="224">
        <f ca="1">IFERROR(__xludf.DUMMYFUNCTION("IMPORTRANGE(""https://docs.google.com/spreadsheets/d/1-uDff_7J0KD5mKrp0Vvzr7lt3OU09vwQwhkpOPPYv2Y/edit?usp=sharing"",""งบพรบ!DV17"")"),73220)</f>
        <v>73220</v>
      </c>
      <c r="O287" s="224">
        <f ca="1">IF(L287&gt;0,N287*100/L287,0)</f>
        <v>102.95275590551181</v>
      </c>
      <c r="P287" s="224">
        <f ca="1">IF(M287&gt;0,N287*100/M287,0)</f>
        <v>90.450895614576893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IFERROR(__xludf.DUMMYFUNCTION("IMPORTRANGE(""https://docs.google.com/spreadsheets/d/1-uDff_7J0KD5mKrp0Vvzr7lt3OU09vwQwhkpOPPYv2Y/edit?usp=sharing"",""งบพรบ!DR17"")"),0)</f>
        <v>0</v>
      </c>
      <c r="M290" s="224">
        <f ca="1">IFERROR(__xludf.DUMMYFUNCTION("IMPORTRANGE(""https://docs.google.com/spreadsheets/d/1-uDff_7J0KD5mKrp0Vvzr7lt3OU09vwQwhkpOPPYv2Y/edit?usp=sharing"",""งบพรบ!DU17"")"),0)</f>
        <v>0</v>
      </c>
      <c r="N290" s="224">
        <f ca="1">IFERROR(__xludf.DUMMYFUNCTION("IMPORTRANGE(""https://docs.google.com/spreadsheets/d/1-uDff_7J0KD5mKrp0Vvzr7lt3OU09vwQwhkpOPPYv2Y/edit?usp=sharing"",""งบพรบ!DW17"")"),0)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IFERROR(__xludf.DUMMYFUNCTION("IMPORTRANGE(""https://docs.google.com/spreadsheets/d/1eHaY18a8A9IcSdp1K8H6x8fbOy06t2VsZHhMHf-1x7Y/edit?usp=sharing"",""แผน!EE17"")"),200)</f>
        <v>200</v>
      </c>
      <c r="J292" s="380">
        <v>200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IFERROR(__xludf.DUMMYFUNCTION("IMPORTRANGE(""https://docs.google.com/spreadsheets/d/1eHaY18a8A9IcSdp1K8H6x8fbOy06t2VsZHhMHf-1x7Y/edit?usp=sharing"",""แผน!ED17"")"),20)</f>
        <v>20</v>
      </c>
      <c r="J293" s="338">
        <f>J296</f>
        <v>20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IFERROR(__xludf.DUMMYFUNCTION("IMPORTRANGE(""https://docs.google.com/spreadsheets/d/1eHaY18a8A9IcSdp1K8H6x8fbOy06t2VsZHhMHf-1x7Y/edit?usp=sharing"",""แผน!ED17"")"),20)</f>
        <v>20</v>
      </c>
      <c r="J295" s="380">
        <v>20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IFERROR(__xludf.DUMMYFUNCTION("IMPORTRANGE(""https://docs.google.com/spreadsheets/d/1eHaY18a8A9IcSdp1K8H6x8fbOy06t2VsZHhMHf-1x7Y/edit?usp=sharing"",""แผน!ED17"")"),20)</f>
        <v>20</v>
      </c>
      <c r="J296" s="380">
        <v>20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IFERROR(__xludf.DUMMYFUNCTION("IMPORTRANGE(""https://docs.google.com/spreadsheets/d/1eHaY18a8A9IcSdp1K8H6x8fbOy06t2VsZHhMHf-1x7Y/edit?usp=sharing"",""แผน!ED17"")"),20)</f>
        <v>20</v>
      </c>
      <c r="J298" s="380">
        <v>20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IFERROR(__xludf.DUMMYFUNCTION("IMPORTRANGE(""https://docs.google.com/spreadsheets/d/1eHaY18a8A9IcSdp1K8H6x8fbOy06t2VsZHhMHf-1x7Y/edit?usp=sharing"",""แผน!ED17"")"),20)</f>
        <v>20</v>
      </c>
      <c r="J299" s="380">
        <v>20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155000</v>
      </c>
      <c r="M303" s="547">
        <f ca="1">M304+M305</f>
        <v>155000</v>
      </c>
      <c r="N303" s="547">
        <f ca="1">N304+N305</f>
        <v>142243</v>
      </c>
      <c r="O303" s="547">
        <f ca="1">IF(L303&gt;0,N303*100/L303,0)</f>
        <v>91.769677419354835</v>
      </c>
      <c r="P303" s="547">
        <f ca="1">IF(M303&gt;0,N303*100/M303,0)</f>
        <v>91.769677419354835</v>
      </c>
      <c r="Q303" s="547">
        <f ca="1">Q304+Q305</f>
        <v>144609.24</v>
      </c>
      <c r="R303" s="547">
        <f ca="1">R304+R305</f>
        <v>148809</v>
      </c>
      <c r="S303" s="547">
        <f ca="1">S304+S305</f>
        <v>84610</v>
      </c>
      <c r="T303" s="547">
        <f ca="1">IF(Q303&gt;0,S303*100/Q303,0)</f>
        <v>58.50940092071572</v>
      </c>
      <c r="U303" s="547">
        <f ca="1">IF(R303&gt;0,S303*100/R303,0)</f>
        <v>56.858120140582898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155000</v>
      </c>
      <c r="M305" s="224">
        <f ca="1">M308+M311</f>
        <v>155000</v>
      </c>
      <c r="N305" s="224">
        <f ca="1">N308+N311</f>
        <v>142243</v>
      </c>
      <c r="O305" s="224">
        <f ca="1">IF(L305&gt;0,N305*100/L305,0)</f>
        <v>91.769677419354835</v>
      </c>
      <c r="P305" s="224">
        <f ca="1">IF(M305&gt;0,N305*100/M305,0)</f>
        <v>91.769677419354835</v>
      </c>
      <c r="Q305" s="224">
        <f ca="1">Q308+Q311</f>
        <v>144609.24</v>
      </c>
      <c r="R305" s="224">
        <f ca="1">R308+R311</f>
        <v>148809</v>
      </c>
      <c r="S305" s="224">
        <f ca="1">S308+S311</f>
        <v>84610</v>
      </c>
      <c r="T305" s="224">
        <f ca="1">IF(Q305&gt;0,S305*100/Q305,0)</f>
        <v>58.50940092071572</v>
      </c>
      <c r="U305" s="224">
        <f ca="1">IF(R305&gt;0,S305*100/R305,0)</f>
        <v>56.858120140582898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155000</v>
      </c>
      <c r="M306" s="224">
        <f ca="1">M307+M308</f>
        <v>155000</v>
      </c>
      <c r="N306" s="224">
        <f ca="1">N307+N308</f>
        <v>142243</v>
      </c>
      <c r="O306" s="224">
        <f ca="1">IF(L306&gt;0,N306*100/L306,0)</f>
        <v>91.769677419354835</v>
      </c>
      <c r="P306" s="224">
        <f ca="1">IF(M306&gt;0,N306*100/M306,0)</f>
        <v>91.769677419354835</v>
      </c>
      <c r="Q306" s="224">
        <f ca="1">Q307+Q308</f>
        <v>144609.24</v>
      </c>
      <c r="R306" s="224">
        <f ca="1">R307+R308</f>
        <v>148809</v>
      </c>
      <c r="S306" s="224">
        <f ca="1">S307+S308</f>
        <v>84610</v>
      </c>
      <c r="T306" s="224">
        <f ca="1">IF(Q306&gt;0,S306*100/Q306,0)</f>
        <v>58.50940092071572</v>
      </c>
      <c r="U306" s="224">
        <f ca="1">IF(R306&gt;0,S306*100/R306,0)</f>
        <v>56.858120140582898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IFERROR(__xludf.DUMMYFUNCTION("IMPORTRANGE(""https://docs.google.com/spreadsheets/d/1-uDff_7J0KD5mKrp0Vvzr7lt3OU09vwQwhkpOPPYv2Y/edit?usp=sharing"",""งบพรบ!DY17"")"),155000)</f>
        <v>155000</v>
      </c>
      <c r="M308" s="224">
        <f ca="1">IFERROR(__xludf.DUMMYFUNCTION("IMPORTRANGE(""https://docs.google.com/spreadsheets/d/1-uDff_7J0KD5mKrp0Vvzr7lt3OU09vwQwhkpOPPYv2Y/edit?usp=sharing"",""งบพรบ!ED17"")"),155000)</f>
        <v>155000</v>
      </c>
      <c r="N308" s="224">
        <f ca="1">IFERROR(__xludf.DUMMYFUNCTION("IMPORTRANGE(""https://docs.google.com/spreadsheets/d/1-uDff_7J0KD5mKrp0Vvzr7lt3OU09vwQwhkpOPPYv2Y/edit?usp=sharing"",""งบพรบ!EF17"")"),142243)</f>
        <v>142243</v>
      </c>
      <c r="O308" s="224">
        <f ca="1">IF(L308&gt;0,N308*100/L308,0)</f>
        <v>91.769677419354835</v>
      </c>
      <c r="P308" s="224">
        <f ca="1">IF(M308&gt;0,N308*100/M308,0)</f>
        <v>91.769677419354835</v>
      </c>
      <c r="Q308" s="224">
        <f ca="1">IFERROR(__xludf.DUMMYFUNCTION("IMPORTRANGE(""https://docs.google.com/spreadsheets/d/1ItG2mGa2ceCfYo0BwxsXqNm01IGEUdYcSSLTEv9YCik/edit?usp=sharing"",""เบิกจ่ายกองทุน!BB17"")"),144609.24)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IFERROR(__xludf.DUMMYFUNCTION("IMPORTRANGE(""https://docs.google.com/spreadsheets/d/1ItG2mGa2ceCfYo0BwxsXqNm01IGEUdYcSSLTEv9YCik/edit?usp=sharing"",""เบิกจ่ายกองทุน!BC17"")"),148809)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IFERROR(__xludf.DUMMYFUNCTION("IMPORTRANGE(""https://docs.google.com/spreadsheets/d/1ItG2mGa2ceCfYo0BwxsXqNm01IGEUdYcSSLTEv9YCik/edit?usp=sharing"",""เบิกจ่ายกองทุน!BD17"")"),84610)</f>
        <v>84610</v>
      </c>
      <c r="T308" s="224">
        <f ca="1">IF(Q308&gt;0,S308*100/Q308,0)</f>
        <v>58.50940092071572</v>
      </c>
      <c r="U308" s="224">
        <f ca="1">IF(R308&gt;0,S308*100/R308,0)</f>
        <v>56.858120140582898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IFERROR(__xludf.DUMMYFUNCTION("IMPORTRANGE(""https://docs.google.com/spreadsheets/d/1-uDff_7J0KD5mKrp0Vvzr7lt3OU09vwQwhkpOPPYv2Y/edit?usp=sharing"",""งบพรบ!EB17"")"),0)</f>
        <v>0</v>
      </c>
      <c r="M311" s="224">
        <f ca="1">IFERROR(__xludf.DUMMYFUNCTION("IMPORTRANGE(""https://docs.google.com/spreadsheets/d/1-uDff_7J0KD5mKrp0Vvzr7lt3OU09vwQwhkpOPPYv2Y/edit?usp=sharing"",""งบพรบ!EE17"")"),0)</f>
        <v>0</v>
      </c>
      <c r="N311" s="224">
        <f ca="1">IFERROR(__xludf.DUMMYFUNCTION("IMPORTRANGE(""https://docs.google.com/spreadsheets/d/1-uDff_7J0KD5mKrp0Vvzr7lt3OU09vwQwhkpOPPYv2Y/edit?usp=sharing"",""งบพรบ!EG17"")"),0)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IFERROR(__xludf.DUMMYFUNCTION("IMPORTRANGE(""https://docs.google.com/spreadsheets/d/1eHaY18a8A9IcSdp1K8H6x8fbOy06t2VsZHhMHf-1x7Y/edit?usp=sharing"",""แผน!EF17"")"),20)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IFERROR(__xludf.DUMMYFUNCTION("IMPORTRANGE(""https://docs.google.com/spreadsheets/d/1-uDff_7J0KD5mKrp0Vvzr7lt3OU09vwQwhkpOPPYv2Y/edit?usp=sharing"",""งบพรบ!EI17"")"),0)</f>
        <v>0</v>
      </c>
      <c r="M325" s="224">
        <f ca="1">IFERROR(__xludf.DUMMYFUNCTION("IMPORTRANGE(""https://docs.google.com/spreadsheets/d/1-uDff_7J0KD5mKrp0Vvzr7lt3OU09vwQwhkpOPPYv2Y/edit?usp=sharing"",""งบพรบ!EN17"")"),0)</f>
        <v>0</v>
      </c>
      <c r="N325" s="224">
        <f ca="1">IFERROR(__xludf.DUMMYFUNCTION("IMPORTRANGE(""https://docs.google.com/spreadsheets/d/1-uDff_7J0KD5mKrp0Vvzr7lt3OU09vwQwhkpOPPYv2Y/edit?usp=sharing"",""งบพรบ!EP17"")"),0)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IFERROR(__xludf.DUMMYFUNCTION("IMPORTRANGE(""https://docs.google.com/spreadsheets/d/1-uDff_7J0KD5mKrp0Vvzr7lt3OU09vwQwhkpOPPYv2Y/edit?usp=sharing"",""งบพรบ!EL17"")"),0)</f>
        <v>0</v>
      </c>
      <c r="M328" s="224">
        <f ca="1">IFERROR(__xludf.DUMMYFUNCTION("IMPORTRANGE(""https://docs.google.com/spreadsheets/d/1-uDff_7J0KD5mKrp0Vvzr7lt3OU09vwQwhkpOPPYv2Y/edit?usp=sharing"",""งบพรบ!EO17"")"),0)</f>
        <v>0</v>
      </c>
      <c r="N328" s="224">
        <f ca="1">IFERROR(__xludf.DUMMYFUNCTION("IMPORTRANGE(""https://docs.google.com/spreadsheets/d/1-uDff_7J0KD5mKrp0Vvzr7lt3OU09vwQwhkpOPPYv2Y/edit?usp=sharing"",""งบพรบ!EQ17"")"),0)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IFERROR(__xludf.DUMMYFUNCTION("IMPORTRANGE(""https://docs.google.com/spreadsheets/d/1eHaY18a8A9IcSdp1K8H6x8fbOy06t2VsZHhMHf-1x7Y/edit?usp=sharing"",""แผน!EJ17"")"),0)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IFERROR(__xludf.DUMMYFUNCTION("IMPORTRANGE(""https://docs.google.com/spreadsheets/d/1eHaY18a8A9IcSdp1K8H6x8fbOy06t2VsZHhMHf-1x7Y/edit?usp=sharing"",""แผน!EK17"")"),900)</f>
        <v>900</v>
      </c>
      <c r="J332" s="300">
        <f ca="1">J344+J347+J348+J349+J353+J354</f>
        <v>5808</v>
      </c>
      <c r="K332" s="679">
        <f ca="1">IF(I332&gt;0,J332*100/I332,0)</f>
        <v>645.33333333333337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180000</v>
      </c>
      <c r="M333" s="547">
        <f ca="1">M334+M335</f>
        <v>180000</v>
      </c>
      <c r="N333" s="547">
        <f ca="1">N334+N335</f>
        <v>137820</v>
      </c>
      <c r="O333" s="547">
        <f ca="1">IF(L333&gt;0,N333*100/L333,0)</f>
        <v>76.566666666666663</v>
      </c>
      <c r="P333" s="547">
        <f ca="1">IF(M333&gt;0,N333*100/M333,0)</f>
        <v>76.566666666666663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180000</v>
      </c>
      <c r="M335" s="224">
        <f ca="1">M338+M341</f>
        <v>180000</v>
      </c>
      <c r="N335" s="224">
        <f ca="1">N338+N341</f>
        <v>137820</v>
      </c>
      <c r="O335" s="224">
        <f ca="1">IF(L335&gt;0,N335*100/L335,0)</f>
        <v>76.566666666666663</v>
      </c>
      <c r="P335" s="224">
        <f ca="1">IF(M335&gt;0,N335*100/M335,0)</f>
        <v>76.566666666666663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180000</v>
      </c>
      <c r="M336" s="224">
        <f ca="1">M337+M338</f>
        <v>180000</v>
      </c>
      <c r="N336" s="224">
        <f ca="1">N337+N338</f>
        <v>137820</v>
      </c>
      <c r="O336" s="224">
        <f ca="1">IF(L336&gt;0,N336*100/L336,0)</f>
        <v>76.566666666666663</v>
      </c>
      <c r="P336" s="224">
        <f ca="1">IF(M336&gt;0,N336*100/M336,0)</f>
        <v>76.566666666666663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IFERROR(__xludf.DUMMYFUNCTION("IMPORTRANGE(""https://docs.google.com/spreadsheets/d/1-uDff_7J0KD5mKrp0Vvzr7lt3OU09vwQwhkpOPPYv2Y/edit?usp=sharing"",""งบพรบ!ES17"")"),180000)</f>
        <v>180000</v>
      </c>
      <c r="M338" s="224">
        <f ca="1">IFERROR(__xludf.DUMMYFUNCTION("IMPORTRANGE(""https://docs.google.com/spreadsheets/d/1-uDff_7J0KD5mKrp0Vvzr7lt3OU09vwQwhkpOPPYv2Y/edit?usp=sharing"",""งบพรบ!EX17"")"),180000)</f>
        <v>180000</v>
      </c>
      <c r="N338" s="224">
        <f ca="1">IFERROR(__xludf.DUMMYFUNCTION("IMPORTRANGE(""https://docs.google.com/spreadsheets/d/1-uDff_7J0KD5mKrp0Vvzr7lt3OU09vwQwhkpOPPYv2Y/edit?usp=sharing"",""งบพรบ!EZ17"")"),137820)</f>
        <v>137820</v>
      </c>
      <c r="O338" s="224">
        <f ca="1">IF(L338&gt;0,N338*100/L338,0)</f>
        <v>76.566666666666663</v>
      </c>
      <c r="P338" s="224">
        <f ca="1">IF(M338&gt;0,N338*100/M338,0)</f>
        <v>76.566666666666663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IFERROR(__xludf.DUMMYFUNCTION("IMPORTRANGE(""https://docs.google.com/spreadsheets/d/1-uDff_7J0KD5mKrp0Vvzr7lt3OU09vwQwhkpOPPYv2Y/edit?usp=sharing"",""งบพรบ!EV17"")"),0)</f>
        <v>0</v>
      </c>
      <c r="M341" s="224">
        <f ca="1">IFERROR(__xludf.DUMMYFUNCTION("IMPORTRANGE(""https://docs.google.com/spreadsheets/d/1-uDff_7J0KD5mKrp0Vvzr7lt3OU09vwQwhkpOPPYv2Y/edit?usp=sharing"",""งบพรบ!EY17"")"),0)</f>
        <v>0</v>
      </c>
      <c r="N341" s="224">
        <f ca="1">IFERROR(__xludf.DUMMYFUNCTION("IMPORTRANGE(""https://docs.google.com/spreadsheets/d/1-uDff_7J0KD5mKrp0Vvzr7lt3OU09vwQwhkpOPPYv2Y/edit?usp=sharing"",""งบพรบ!FA17"")"),0)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1208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IFERROR(__xludf.DUMMYFUNCTION("IMPORTRANGE(""https://docs.google.com/spreadsheets/d/1awYsYK3VOup2i3Pq_Yjnu8DRu_mYwSBnCR2QPthd0rU/edit?usp=sharing"",""ศูนย์ยกเว้นโฉนด!D17"")"),1061)</f>
        <v>1061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IFERROR(__xludf.DUMMYFUNCTION("IMPORTRANGE(""https://docs.google.com/spreadsheets/d/1eHaY18a8A9IcSdp1K8H6x8fbOy06t2VsZHhMHf-1x7Y/edit?usp=sharing"",""แผน!EL17"")"),6)</f>
        <v>6</v>
      </c>
      <c r="J346" s="184">
        <f ca="1">IFERROR(__xludf.DUMMYFUNCTION("IMPORTRANGE(""https://docs.google.com/spreadsheets/d/1awYsYK3VOup2i3Pq_Yjnu8DRu_mYwSBnCR2QPthd0rU/edit?usp=sharing"",""ศูนย์รวม!E17"")"),8)</f>
        <v>8</v>
      </c>
      <c r="K346" s="224">
        <f ca="1">IF(I346&gt;0,J346*100/I346,0)</f>
        <v>133.33333333333334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IFERROR(__xludf.DUMMYFUNCTION("IMPORTRANGE(""https://docs.google.com/spreadsheets/d/1awYsYK3VOup2i3Pq_Yjnu8DRu_mYwSBnCR2QPthd0rU/edit?usp=sharing"",""ศูนย์ยกเว้นโฉนด!F17"")"),49)</f>
        <v>49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IFERROR(__xludf.DUMMYFUNCTION("IMPORTRANGE(""https://docs.google.com/spreadsheets/d/1awYsYK3VOup2i3Pq_Yjnu8DRu_mYwSBnCR2QPthd0rU/edit?usp=sharing"",""ศูนย์ยกเว้นโฉนด!G17"")"),98)</f>
        <v>98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IFERROR(__xludf.DUMMYFUNCTION("IMPORTRANGE(""https://docs.google.com/spreadsheets/d/1awYsYK3VOup2i3Pq_Yjnu8DRu_mYwSBnCR2QPthd0rU/edit?usp=sharing"",""ศูนย์ยกเว้นโฉนด!H17"")"),0)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4600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IFERROR(__xludf.DUMMYFUNCTION("IMPORTRANGE(""https://docs.google.com/spreadsheets/d/1awYsYK3VOup2i3Pq_Yjnu8DRu_mYwSBnCR2QPthd0rU/edit?usp=sharing"",""โฉนดM3!G17"")"),76)</f>
        <v>76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IFERROR(__xludf.DUMMYFUNCTION("IMPORTRANGE(""https://docs.google.com/spreadsheets/d/1awYsYK3VOup2i3Pq_Yjnu8DRu_mYwSBnCR2QPthd0rU/edit?usp=sharing"",""โฉนดM3!H17"")"),3566)</f>
        <v>3566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IFERROR(__xludf.DUMMYFUNCTION("IMPORTRANGE(""https://docs.google.com/spreadsheets/d/1awYsYK3VOup2i3Pq_Yjnu8DRu_mYwSBnCR2QPthd0rU/edit?usp=sharing"",""โฉนดM3!I17"")"),1034)</f>
        <v>1034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481500</v>
      </c>
      <c r="M356" s="547">
        <f ca="1">M357+M358</f>
        <v>591000</v>
      </c>
      <c r="N356" s="547">
        <f ca="1">N357+N358</f>
        <v>495381</v>
      </c>
      <c r="O356" s="547">
        <f ca="1">IF(L356&gt;0,N356*100/L356,0)</f>
        <v>102.8828660436137</v>
      </c>
      <c r="P356" s="547">
        <f ca="1">IF(M356&gt;0,N356*100/M356,0)</f>
        <v>83.820812182741122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481500</v>
      </c>
      <c r="M358" s="224">
        <f ca="1">M361+M364</f>
        <v>591000</v>
      </c>
      <c r="N358" s="224">
        <f ca="1">N361+N364</f>
        <v>495381</v>
      </c>
      <c r="O358" s="224">
        <f ca="1">IF(L358&gt;0,N358*100/L358,0)</f>
        <v>102.8828660436137</v>
      </c>
      <c r="P358" s="224">
        <f ca="1">IF(M358&gt;0,N358*100/M358,0)</f>
        <v>83.820812182741122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481500</v>
      </c>
      <c r="M359" s="224">
        <f ca="1">M360+M361</f>
        <v>591000</v>
      </c>
      <c r="N359" s="224">
        <f ca="1">N360+N361</f>
        <v>495381</v>
      </c>
      <c r="O359" s="224">
        <f ca="1">IF(L359&gt;0,N359*100/L359,0)</f>
        <v>102.8828660436137</v>
      </c>
      <c r="P359" s="224">
        <f ca="1">IF(M359&gt;0,N359*100/M359,0)</f>
        <v>83.820812182741122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IFERROR(__xludf.DUMMYFUNCTION("IMPORTRANGE(""https://docs.google.com/spreadsheets/d/1-uDff_7J0KD5mKrp0Vvzr7lt3OU09vwQwhkpOPPYv2Y/edit?usp=sharing"",""งบพรบ!FC17"")"),481500)</f>
        <v>481500</v>
      </c>
      <c r="M361" s="224">
        <f ca="1">IFERROR(__xludf.DUMMYFUNCTION("IMPORTRANGE(""https://docs.google.com/spreadsheets/d/1-uDff_7J0KD5mKrp0Vvzr7lt3OU09vwQwhkpOPPYv2Y/edit?usp=sharing"",""งบพรบ!FH17"")"),591000)</f>
        <v>591000</v>
      </c>
      <c r="N361" s="224">
        <f ca="1">IFERROR(__xludf.DUMMYFUNCTION("IMPORTRANGE(""https://docs.google.com/spreadsheets/d/1-uDff_7J0KD5mKrp0Vvzr7lt3OU09vwQwhkpOPPYv2Y/edit?usp=sharing"",""งบพรบ!FJ17"")"),495381)</f>
        <v>495381</v>
      </c>
      <c r="O361" s="224">
        <f ca="1">IF(L361&gt;0,N361*100/L361,0)</f>
        <v>102.8828660436137</v>
      </c>
      <c r="P361" s="224">
        <f ca="1">IF(M361&gt;0,N361*100/M361,0)</f>
        <v>83.820812182741122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IFERROR(__xludf.DUMMYFUNCTION("IMPORTRANGE(""https://docs.google.com/spreadsheets/d/1-uDff_7J0KD5mKrp0Vvzr7lt3OU09vwQwhkpOPPYv2Y/edit?usp=sharing"",""งบพรบ!FF17"")"),0)</f>
        <v>0</v>
      </c>
      <c r="M364" s="224">
        <f ca="1">IFERROR(__xludf.DUMMYFUNCTION("IMPORTRANGE(""https://docs.google.com/spreadsheets/d/1-uDff_7J0KD5mKrp0Vvzr7lt3OU09vwQwhkpOPPYv2Y/edit?usp=sharing"",""งบพรบ!FI17"")"),0)</f>
        <v>0</v>
      </c>
      <c r="N364" s="224">
        <f ca="1">IFERROR(__xludf.DUMMYFUNCTION("IMPORTRANGE(""https://docs.google.com/spreadsheets/d/1-uDff_7J0KD5mKrp0Vvzr7lt3OU09vwQwhkpOPPYv2Y/edit?usp=sharing"",""งบพรบ!FK17"")"),0)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375</v>
      </c>
      <c r="J365" s="302">
        <f ca="1">J371</f>
        <v>472</v>
      </c>
      <c r="K365" s="303">
        <f ca="1">IF(I365&gt;0,J365*100/I365,0)</f>
        <v>125.86666666666666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IFERROR(__xludf.DUMMYFUNCTION("IMPORTRANGE(""https://docs.google.com/spreadsheets/d/1tdoBKaGub7dwA3U6UFTqxio9LNnvDCQjHKmttSEBsFQ/edit?usp=sharing"",""จัดที่ดิน!AB17"")"),126)</f>
        <v>126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IFERROR(__xludf.DUMMYFUNCTION("IMPORTRANGE(""https://docs.google.com/spreadsheets/d/1eHaY18a8A9IcSdp1K8H6x8fbOy06t2VsZHhMHf-1x7Y/edit?usp=sharing"",""แผน!EW17"")"),950)</f>
        <v>950</v>
      </c>
      <c r="J368" s="668">
        <f ca="1">IFERROR(__xludf.DUMMYFUNCTION("IMPORTRANGE(""https://docs.google.com/spreadsheets/d/1tdoBKaGub7dwA3U6UFTqxio9LNnvDCQjHKmttSEBsFQ/edit?usp=sharing"",""จัดที่ดิน!AC17"")"),1263.94)</f>
        <v>1263.94</v>
      </c>
      <c r="K368" s="224">
        <f ca="1">IF(I368&gt;0,J368*100/I368,0)</f>
        <v>133.04631578947368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IFERROR(__xludf.DUMMYFUNCTION("IMPORTRANGE(""https://docs.google.com/spreadsheets/d/1eHaY18a8A9IcSdp1K8H6x8fbOy06t2VsZHhMHf-1x7Y/edit?usp=sharing"",""แผน!EX17"")"),375)</f>
        <v>375</v>
      </c>
      <c r="J369" s="184">
        <f ca="1">IFERROR(__xludf.DUMMYFUNCTION("IMPORTRANGE(""https://docs.google.com/spreadsheets/d/1tdoBKaGub7dwA3U6UFTqxio9LNnvDCQjHKmttSEBsFQ/edit?usp=sharing"",""จัดที่ดิน!AD17"")"),475)</f>
        <v>475</v>
      </c>
      <c r="K369" s="224">
        <f ca="1">IF(I369&gt;0,J369*100/I369,0)</f>
        <v>126.66666666666667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IFERROR(__xludf.DUMMYFUNCTION("IMPORTRANGE(""https://docs.google.com/spreadsheets/d/1tdoBKaGub7dwA3U6UFTqxio9LNnvDCQjHKmttSEBsFQ/edit?usp=sharing"",""จัดที่ดิน!AE17"")"),6499.63999999999)</f>
        <v>6499.6399999999903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IFERROR(__xludf.DUMMYFUNCTION("IMPORTRANGE(""https://docs.google.com/spreadsheets/d/1eHaY18a8A9IcSdp1K8H6x8fbOy06t2VsZHhMHf-1x7Y/edit?usp=sharing"",""แผน!EY17"")"),375)</f>
        <v>375</v>
      </c>
      <c r="J371" s="184">
        <f ca="1">IFERROR(__xludf.DUMMYFUNCTION("IMPORTRANGE(""https://docs.google.com/spreadsheets/d/1tdoBKaGub7dwA3U6UFTqxio9LNnvDCQjHKmttSEBsFQ/edit?usp=sharing"",""จัดที่ดิน!AF17"")"),472)</f>
        <v>472</v>
      </c>
      <c r="K371" s="224">
        <f ca="1">IF(I371&gt;0,J371*100/I371,0)</f>
        <v>125.86666666666666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IFERROR(__xludf.DUMMYFUNCTION("IMPORTRANGE(""https://docs.google.com/spreadsheets/d/1tdoBKaGub7dwA3U6UFTqxio9LNnvDCQjHKmttSEBsFQ/edit?usp=sharing"",""จัดที่ดิน!AG17"")"),6437.28)</f>
        <v>6437.28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1135</v>
      </c>
      <c r="K374" s="659">
        <f ca="1">IF(I374&gt;0,J374*100/I374,0)</f>
        <v>113.5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62500</v>
      </c>
      <c r="S375" s="547">
        <f ca="1">S376+S377</f>
        <v>62400</v>
      </c>
      <c r="T375" s="547">
        <f ca="1">IF(Q375&gt;0,S375*100/Q375,0)</f>
        <v>99.84</v>
      </c>
      <c r="U375" s="547">
        <f ca="1">IF(R375&gt;0,S375*100/R375,0)</f>
        <v>99.84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62400</v>
      </c>
      <c r="T377" s="224">
        <f ca="1">IF(Q377&gt;0,S377*100/Q377,0)</f>
        <v>99.84</v>
      </c>
      <c r="U377" s="224">
        <f ca="1">IF(R377&gt;0,S377*100/R377,0)</f>
        <v>99.84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62400</v>
      </c>
      <c r="T378" s="224">
        <f ca="1">IF(Q378&gt;0,S378*100/Q378,0)</f>
        <v>99.84</v>
      </c>
      <c r="U378" s="224">
        <f ca="1">IF(R378&gt;0,S378*100/R378,0)</f>
        <v>99.84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IFERROR(__xludf.DUMMYFUNCTION("IMPORTRANGE(""https://docs.google.com/spreadsheets/d/1-uDff_7J0KD5mKrp0Vvzr7lt3OU09vwQwhkpOPPYv2Y/edit?usp=sharing"",""งบพรบ!IE17"")"),0)</f>
        <v>0</v>
      </c>
      <c r="M380" s="224">
        <f ca="1">IFERROR(__xludf.DUMMYFUNCTION("IMPORTRANGE(""https://docs.google.com/spreadsheets/d/1-uDff_7J0KD5mKrp0Vvzr7lt3OU09vwQwhkpOPPYv2Y/edit?usp=sharing"",""งบพรบ!IJ17"")"),0)</f>
        <v>0</v>
      </c>
      <c r="N380" s="224">
        <f ca="1">IFERROR(__xludf.DUMMYFUNCTION("IMPORTRANGE(""https://docs.google.com/spreadsheets/d/1-uDff_7J0KD5mKrp0Vvzr7lt3OU09vwQwhkpOPPYv2Y/edit?usp=sharing"",""งบพรบ!IL17"")"),0)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IFERROR(__xludf.DUMMYFUNCTION("IMPORTRANGE(""https://docs.google.com/spreadsheets/d/1ItG2mGa2ceCfYo0BwxsXqNm01IGEUdYcSSLTEv9YCik/edit?usp=sharing"",""เบิกจ่ายกองทุน!BX17"")"),62500)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IFERROR(__xludf.DUMMYFUNCTION("IMPORTRANGE(""https://docs.google.com/spreadsheets/d/1ItG2mGa2ceCfYo0BwxsXqNm01IGEUdYcSSLTEv9YCik/edit?usp=sharing"",""เบิกจ่ายกองทุน!BY17"")"),62400)</f>
        <v>62400</v>
      </c>
      <c r="T380" s="224">
        <f ca="1">IF(Q380&gt;0,S380*100/Q380,0)</f>
        <v>99.84</v>
      </c>
      <c r="U380" s="224">
        <f ca="1">IF(R380&gt;0,S380*100/R380,0)</f>
        <v>99.84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IFERROR(__xludf.DUMMYFUNCTION("IMPORTRANGE(""https://docs.google.com/spreadsheets/d/1-uDff_7J0KD5mKrp0Vvzr7lt3OU09vwQwhkpOPPYv2Y/edit?usp=sharing"",""งบพรบ!IH17"")"),0)</f>
        <v>0</v>
      </c>
      <c r="M383" s="224">
        <f ca="1">IFERROR(__xludf.DUMMYFUNCTION("IMPORTRANGE(""https://docs.google.com/spreadsheets/d/1-uDff_7J0KD5mKrp0Vvzr7lt3OU09vwQwhkpOPPYv2Y/edit?usp=sharing"",""งบพรบ!IK17"")"),0)</f>
        <v>0</v>
      </c>
      <c r="N383" s="224">
        <f ca="1">IFERROR(__xludf.DUMMYFUNCTION("IMPORTRANGE(""https://docs.google.com/spreadsheets/d/1-uDff_7J0KD5mKrp0Vvzr7lt3OU09vwQwhkpOPPYv2Y/edit?usp=sharing"",""งบพรบ!IM17"")"),0)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IFERROR(__xludf.DUMMYFUNCTION("IMPORTRANGE(""https://docs.google.com/spreadsheets/d/1w5rwWK1o49a35cNtocGL0gxDwhFSTZUQu90BiH9_zqM/edit?usp=sharing"",""RTK!H17"")"),83)</f>
        <v>83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IFERROR(__xludf.DUMMYFUNCTION("IMPORTRANGE(""https://docs.google.com/spreadsheets/d/1w5rwWK1o49a35cNtocGL0gxDwhFSTZUQu90BiH9_zqM/edit?usp=sharing"",""RTK!G17"")"),1000)</f>
        <v>1000</v>
      </c>
      <c r="J386" s="184">
        <f ca="1">IFERROR(__xludf.DUMMYFUNCTION("IMPORTRANGE(""https://docs.google.com/spreadsheets/d/1w5rwWK1o49a35cNtocGL0gxDwhFSTZUQu90BiH9_zqM/edit?usp=sharing"",""RTK!I17"")"),1135)</f>
        <v>1135</v>
      </c>
      <c r="K386" s="224">
        <f ca="1">IF(I386&gt;0,J386*100/I386,0)</f>
        <v>113.5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IFERROR(__xludf.DUMMYFUNCTION("IMPORTRANGE(""https://docs.google.com/spreadsheets/d/1w5rwWK1o49a35cNtocGL0gxDwhFSTZUQu90BiH9_zqM/edit?usp=sharing"",""RTK!L17"")"),0)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IFERROR(__xludf.DUMMYFUNCTION("IMPORTRANGE(""https://docs.google.com/spreadsheets/d/1w5rwWK1o49a35cNtocGL0gxDwhFSTZUQu90BiH9_zqM/edit?usp=sharing"",""RTK!K17"")"),0)</f>
        <v>0</v>
      </c>
      <c r="J388" s="559">
        <f ca="1">IFERROR(__xludf.DUMMYFUNCTION("IMPORTRANGE(""https://docs.google.com/spreadsheets/d/1w5rwWK1o49a35cNtocGL0gxDwhFSTZUQu90BiH9_zqM/edit?usp=sharing"",""RTK!M17"")"),0)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IFERROR(__xludf.DUMMYFUNCTION("IMPORTRANGE(""https://docs.google.com/spreadsheets/d/1ItG2mGa2ceCfYo0BwxsXqNm01IGEUdYcSSLTEv9YCik/edit?usp=sharing"",""เบิกจ่ายกองทุน!CL17"")"),0)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IFERROR(__xludf.DUMMYFUNCTION("IMPORTRANGE(""https://docs.google.com/spreadsheets/d/1ItG2mGa2ceCfYo0BwxsXqNm01IGEUdYcSSLTEv9YCik/edit?usp=sharing"",""เบิกจ่ายกองทุน!CM17"")"),0)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IFERROR(__xludf.DUMMYFUNCTION("IMPORTRANGE(""https://docs.google.com/spreadsheets/d/1ItG2mGa2ceCfYo0BwxsXqNm01IGEUdYcSSLTEv9YCik/edit?usp=sharing"",""เบิกจ่ายกองทุน!CN17"")"),0)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14465</v>
      </c>
      <c r="J412" s="632">
        <f>J423</f>
        <v>14465.1</v>
      </c>
      <c r="K412" s="631">
        <f ca="1">IF(I412&gt;0,J412*100/I412,0)</f>
        <v>100.00069132388523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390430</v>
      </c>
      <c r="M413" s="547">
        <f ca="1">M414+M415</f>
        <v>390430</v>
      </c>
      <c r="N413" s="547">
        <f ca="1">N414+N415</f>
        <v>199559</v>
      </c>
      <c r="O413" s="547">
        <f ca="1">IF(L413&gt;0,N413*100/L413,0)</f>
        <v>51.112619419614269</v>
      </c>
      <c r="P413" s="547">
        <f ca="1">IF(M413&gt;0,N413*100/M413,0)</f>
        <v>51.112619419614269</v>
      </c>
      <c r="Q413" s="547">
        <f ca="1">Q414+Q415</f>
        <v>53910</v>
      </c>
      <c r="R413" s="547">
        <f ca="1">R414+R415</f>
        <v>53910</v>
      </c>
      <c r="S413" s="547">
        <f ca="1">S414+S415</f>
        <v>48820</v>
      </c>
      <c r="T413" s="547">
        <f ca="1">IF(Q413&gt;0,S413*100/Q413,0)</f>
        <v>90.558337970691895</v>
      </c>
      <c r="U413" s="547">
        <f ca="1">IF(R413&gt;0,S413*100/R413,0)</f>
        <v>90.558337970691895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390430</v>
      </c>
      <c r="M415" s="224">
        <f ca="1">M418+M421</f>
        <v>390430</v>
      </c>
      <c r="N415" s="224">
        <f ca="1">N418+N421</f>
        <v>199559</v>
      </c>
      <c r="O415" s="224">
        <f ca="1">IF(L415&gt;0,N415*100/L415,0)</f>
        <v>51.112619419614269</v>
      </c>
      <c r="P415" s="224">
        <f ca="1">IF(M415&gt;0,N415*100/M415,0)</f>
        <v>51.112619419614269</v>
      </c>
      <c r="Q415" s="224">
        <f ca="1">Q418+Q421</f>
        <v>53910</v>
      </c>
      <c r="R415" s="224">
        <f ca="1">R418+R421</f>
        <v>53910</v>
      </c>
      <c r="S415" s="224">
        <f ca="1">S418+S421</f>
        <v>48820</v>
      </c>
      <c r="T415" s="224">
        <f ca="1">IF(Q415&gt;0,S415*100/Q415,0)</f>
        <v>90.558337970691895</v>
      </c>
      <c r="U415" s="224">
        <f ca="1">IF(R415&gt;0,S415*100/R415,0)</f>
        <v>90.558337970691895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390430</v>
      </c>
      <c r="M416" s="224">
        <f ca="1">M417+M418</f>
        <v>390430</v>
      </c>
      <c r="N416" s="224">
        <f ca="1">N417+N418</f>
        <v>199559</v>
      </c>
      <c r="O416" s="224">
        <f ca="1">IF(L416&gt;0,N416*100/L416,0)</f>
        <v>51.112619419614269</v>
      </c>
      <c r="P416" s="224">
        <f ca="1">IF(M416&gt;0,N416*100/M416,0)</f>
        <v>51.112619419614269</v>
      </c>
      <c r="Q416" s="224">
        <f ca="1">Q417+Q418</f>
        <v>53910</v>
      </c>
      <c r="R416" s="224">
        <f ca="1">R417+R418</f>
        <v>53910</v>
      </c>
      <c r="S416" s="224">
        <f ca="1">S417+S418</f>
        <v>48820</v>
      </c>
      <c r="T416" s="224">
        <f ca="1">IF(Q416&gt;0,S416*100/Q416,0)</f>
        <v>90.558337970691895</v>
      </c>
      <c r="U416" s="224">
        <f ca="1">IF(R416&gt;0,S416*100/R416,0)</f>
        <v>90.558337970691895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IFERROR(__xludf.DUMMYFUNCTION("IMPORTRANGE(""https://docs.google.com/spreadsheets/d/1-uDff_7J0KD5mKrp0Vvzr7lt3OU09vwQwhkpOPPYv2Y/edit?usp=sharing"",""งบพรบ!IO17"")"),390430)</f>
        <v>390430</v>
      </c>
      <c r="M418" s="224">
        <f ca="1">IFERROR(__xludf.DUMMYFUNCTION("IMPORTRANGE(""https://docs.google.com/spreadsheets/d/1-uDff_7J0KD5mKrp0Vvzr7lt3OU09vwQwhkpOPPYv2Y/edit?usp=sharing"",""งบพรบ!IT17"")"),390430)</f>
        <v>390430</v>
      </c>
      <c r="N418" s="224">
        <f ca="1">IFERROR(__xludf.DUMMYFUNCTION("IMPORTRANGE(""https://docs.google.com/spreadsheets/d/1-uDff_7J0KD5mKrp0Vvzr7lt3OU09vwQwhkpOPPYv2Y/edit?usp=sharing"",""งบพรบ!IV17"")"),199559)</f>
        <v>199559</v>
      </c>
      <c r="O418" s="224">
        <f ca="1">IF(L418&gt;0,N418*100/L418,0)</f>
        <v>51.112619419614269</v>
      </c>
      <c r="P418" s="224">
        <f ca="1">IF(M418&gt;0,N418*100/M418,0)</f>
        <v>51.112619419614269</v>
      </c>
      <c r="Q418" s="224">
        <f ca="1">IFERROR(__xludf.DUMMYFUNCTION("IMPORTRANGE(""https://docs.google.com/spreadsheets/d/1ItG2mGa2ceCfYo0BwxsXqNm01IGEUdYcSSLTEv9YCik/edit?usp=sharing"",""เบิกจ่ายกองทุน!BZ17"")"),53910)</f>
        <v>53910</v>
      </c>
      <c r="R418" s="224">
        <f ca="1">IFERROR(__xludf.DUMMYFUNCTION("IMPORTRANGE(""https://docs.google.com/spreadsheets/d/1ItG2mGa2ceCfYo0BwxsXqNm01IGEUdYcSSLTEv9YCik/edit?usp=sharing"",""เบิกจ่ายกองทุน!CA17"")"),53910)</f>
        <v>53910</v>
      </c>
      <c r="S418" s="224">
        <f ca="1">IFERROR(__xludf.DUMMYFUNCTION("IMPORTRANGE(""https://docs.google.com/spreadsheets/d/1ItG2mGa2ceCfYo0BwxsXqNm01IGEUdYcSSLTEv9YCik/edit?usp=sharing"",""เบิกจ่ายกองทุน!CB17"")"),48820)</f>
        <v>48820</v>
      </c>
      <c r="T418" s="224">
        <f ca="1">IF(Q418&gt;0,S418*100/Q418,0)</f>
        <v>90.558337970691895</v>
      </c>
      <c r="U418" s="224">
        <f ca="1">IF(R418&gt;0,S418*100/R418,0)</f>
        <v>90.558337970691895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IFERROR(__xludf.DUMMYFUNCTION("IMPORTRANGE(""https://docs.google.com/spreadsheets/d/1-uDff_7J0KD5mKrp0Vvzr7lt3OU09vwQwhkpOPPYv2Y/edit?usp=sharing"",""งบพรบ!IR17"")"),0)</f>
        <v>0</v>
      </c>
      <c r="M421" s="224">
        <f ca="1">IFERROR(__xludf.DUMMYFUNCTION("IMPORTRANGE(""https://docs.google.com/spreadsheets/d/1-uDff_7J0KD5mKrp0Vvzr7lt3OU09vwQwhkpOPPYv2Y/edit?usp=sharing"",""งบพรบ!IU17"")"),0)</f>
        <v>0</v>
      </c>
      <c r="N421" s="224">
        <f ca="1">IFERROR(__xludf.DUMMYFUNCTION("IMPORTRANGE(""https://docs.google.com/spreadsheets/d/1-uDff_7J0KD5mKrp0Vvzr7lt3OU09vwQwhkpOPPYv2Y/edit?usp=sharing"",""งบพรบ!IW17"")"),0)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14465</v>
      </c>
      <c r="J423" s="653">
        <f>J440</f>
        <v>14465.1</v>
      </c>
      <c r="K423" s="578">
        <f ca="1">IF(I423&gt;0,J423*100/I423,0)</f>
        <v>100.00069132388523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IFERROR(__xludf.DUMMYFUNCTION("IMPORTRANGE(""https://docs.google.com/spreadsheets/d/1eHaY18a8A9IcSdp1K8H6x8fbOy06t2VsZHhMHf-1x7Y/edit?usp=sharing"",""แผน!HJ17"")"),14465)</f>
        <v>14465</v>
      </c>
      <c r="J424" s="650">
        <f>J426+J428+J430</f>
        <v>14465.140000000001</v>
      </c>
      <c r="K424" s="547">
        <f ca="1">IF(I424&gt;0,J424*100/I424,0)</f>
        <v>100.00096785343935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IFERROR(__xludf.DUMMYFUNCTION("IMPORTRANGE(""https://docs.google.com/spreadsheets/d/1eHaY18a8A9IcSdp1K8H6x8fbOy06t2VsZHhMHf-1x7Y/edit?usp=sharing"",""แผน!HK17"")"),1899)</f>
        <v>1899</v>
      </c>
      <c r="J425" s="650">
        <f>J427+J429+J431</f>
        <v>1899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12686.62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1698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889.27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105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889.25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96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IFERROR(__xludf.DUMMYFUNCTION("IMPORTRANGE(""https://docs.google.com/spreadsheets/d/1eHaY18a8A9IcSdp1K8H6x8fbOy06t2VsZHhMHf-1x7Y/edit?usp=sharing"",""แผน!HJ17"")"),14465)</f>
        <v>14465</v>
      </c>
      <c r="J432" s="650">
        <f>J434+J436+J438</f>
        <v>14465</v>
      </c>
      <c r="K432" s="547">
        <f ca="1">IF(I432&gt;0,J432*100/I432,0)</f>
        <v>100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IFERROR(__xludf.DUMMYFUNCTION("IMPORTRANGE(""https://docs.google.com/spreadsheets/d/1eHaY18a8A9IcSdp1K8H6x8fbOy06t2VsZHhMHf-1x7Y/edit?usp=sharing"",""แผน!HK17"")"),1899)</f>
        <v>1899</v>
      </c>
      <c r="J433" s="650">
        <f>J435+J437+J439</f>
        <v>1899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12693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1698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849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102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923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99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IFERROR(__xludf.DUMMYFUNCTION("IMPORTRANGE(""https://docs.google.com/spreadsheets/d/1eHaY18a8A9IcSdp1K8H6x8fbOy06t2VsZHhMHf-1x7Y/edit?usp=sharing"",""แผน!HJ17"")"),14465)</f>
        <v>14465</v>
      </c>
      <c r="J440" s="650">
        <f>J442+J444+J446+J452+J454</f>
        <v>14465.1</v>
      </c>
      <c r="K440" s="547">
        <f ca="1">IF(I440&gt;0,J440*100/I440,0)</f>
        <v>100.00069132388523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IFERROR(__xludf.DUMMYFUNCTION("IMPORTRANGE(""https://docs.google.com/spreadsheets/d/1eHaY18a8A9IcSdp1K8H6x8fbOy06t2VsZHhMHf-1x7Y/edit?usp=sharing"",""แผน!HK17"")"),1899)</f>
        <v>1899</v>
      </c>
      <c r="J441" s="650">
        <f>J443+J445+J447+J453+J455</f>
        <v>1899</v>
      </c>
      <c r="K441" s="547">
        <f ca="1">IF(I441&gt;0,J441*100/I441,0)</f>
        <v>100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12693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1698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849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102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923.1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99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905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97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18.100000000000001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2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975.85</v>
      </c>
      <c r="J456" s="648">
        <f>J457</f>
        <v>601.20000000000005</v>
      </c>
      <c r="K456" s="578">
        <f ca="1">IF(I456&gt;0,J456*100/I456,0)</f>
        <v>61.607829072091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IFERROR(__xludf.DUMMYFUNCTION("IMPORTRANGE(""https://docs.google.com/spreadsheets/d/1eHaY18a8A9IcSdp1K8H6x8fbOy06t2VsZHhMHf-1x7Y/edit?usp=sharing"",""แผน!HL17"")"),975.85)</f>
        <v>975.85</v>
      </c>
      <c r="J457" s="650">
        <f>J459+J467+J473</f>
        <v>601.20000000000005</v>
      </c>
      <c r="K457" s="547">
        <f ca="1">IF(I457&gt;0,J457*100/I457,0)</f>
        <v>61.607829072091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IFERROR(__xludf.DUMMYFUNCTION("IMPORTRANGE(""https://docs.google.com/spreadsheets/d/1eHaY18a8A9IcSdp1K8H6x8fbOy06t2VsZHhMHf-1x7Y/edit?usp=sharing"",""แผน!HM17"")"),80)</f>
        <v>80</v>
      </c>
      <c r="J458" s="650">
        <f>J460+J468+J474</f>
        <v>48</v>
      </c>
      <c r="K458" s="547">
        <f ca="1">IF(I458&gt;0,J458*100/I458,0)</f>
        <v>60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570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46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570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46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31.2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2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2.2000000000000002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29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1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IFERROR(__xludf.DUMMYFUNCTION("IMPORTRANGE(""https://docs.google.com/spreadsheets/d/1eHaY18a8A9IcSdp1K8H6x8fbOy06t2VsZHhMHf-1x7Y/edit?usp=sharing"",""แผน!HO17"")"),120)</f>
        <v>120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IFERROR(__xludf.DUMMYFUNCTION("IMPORTRANGE(""https://docs.google.com/spreadsheets/d/1eHaY18a8A9IcSdp1K8H6x8fbOy06t2VsZHhMHf-1x7Y/edit?usp=sharing"",""แผน!HN17"")"),11)</f>
        <v>11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IFERROR(__xludf.DUMMYFUNCTION("IMPORTRANGE(""https://docs.google.com/spreadsheets/d/1-uDff_7J0KD5mKrp0Vvzr7lt3OU09vwQwhkpOPPYv2Y/edit?usp=sharing"",""งบพรบ!HU17"")"),0)</f>
        <v>0</v>
      </c>
      <c r="M498" s="224">
        <f ca="1">IFERROR(__xludf.DUMMYFUNCTION("IMPORTRANGE(""https://docs.google.com/spreadsheets/d/1-uDff_7J0KD5mKrp0Vvzr7lt3OU09vwQwhkpOPPYv2Y/edit?usp=sharing"",""งบพรบ!HZ17"")"),0)</f>
        <v>0</v>
      </c>
      <c r="N498" s="224">
        <f ca="1">IFERROR(__xludf.DUMMYFUNCTION("IMPORTRANGE(""https://docs.google.com/spreadsheets/d/1-uDff_7J0KD5mKrp0Vvzr7lt3OU09vwQwhkpOPPYv2Y/edit?usp=sharing"",""งบพรบ!IB17"")"),0)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IFERROR(__xludf.DUMMYFUNCTION("IMPORTRANGE(""https://docs.google.com/spreadsheets/d/1ItG2mGa2ceCfYo0BwxsXqNm01IGEUdYcSSLTEv9YCik/edit?usp=sharing"",""เบิกจ่ายกองทุน!AF17"")"),0)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IFERROR(__xludf.DUMMYFUNCTION("IMPORTRANGE(""https://docs.google.com/spreadsheets/d/1-uDff_7J0KD5mKrp0Vvzr7lt3OU09vwQwhkpOPPYv2Y/edit?usp=sharing"",""งบพรบ!HX17"")"),0)</f>
        <v>0</v>
      </c>
      <c r="M501" s="224">
        <f ca="1">IFERROR(__xludf.DUMMYFUNCTION("IMPORTRANGE(""https://docs.google.com/spreadsheets/d/1-uDff_7J0KD5mKrp0Vvzr7lt3OU09vwQwhkpOPPYv2Y/edit?usp=sharing"",""งบพรบ!IA17"")"),0)</f>
        <v>0</v>
      </c>
      <c r="N501" s="224">
        <f ca="1">IFERROR(__xludf.DUMMYFUNCTION("IMPORTRANGE(""https://docs.google.com/spreadsheets/d/1-uDff_7J0KD5mKrp0Vvzr7lt3OU09vwQwhkpOPPYv2Y/edit?usp=sharing"",""งบพรบ!IC17"")"),0)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IFERROR(__xludf.DUMMYFUNCTION("IMPORTRANGE(""https://docs.google.com/spreadsheets/d/1eHaY18a8A9IcSdp1K8H6x8fbOy06t2VsZHhMHf-1x7Y/edit?usp=sharing"",""แผน!GX17"")"),0)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IFERROR(__xludf.DUMMYFUNCTION("IMPORTRANGE(""https://docs.google.com/spreadsheets/d/1eHaY18a8A9IcSdp1K8H6x8fbOy06t2VsZHhMHf-1x7Y/edit?usp=sharing"",""แผน!GY17"")"),0)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IFERROR(__xludf.DUMMYFUNCTION("IMPORTRANGE(""https://docs.google.com/spreadsheets/d/1eHaY18a8A9IcSdp1K8H6x8fbOy06t2VsZHhMHf-1x7Y/edit?usp=sharing"",""แผน!GZ17"")"),0)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IFERROR(__xludf.DUMMYFUNCTION("IMPORTRANGE(""https://docs.google.com/spreadsheets/d/1eHaY18a8A9IcSdp1K8H6x8fbOy06t2VsZHhMHf-1x7Y/edit?usp=sharing"",""แผน!HA17"")"),0)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IFERROR(__xludf.DUMMYFUNCTION("IMPORTRANGE(""https://docs.google.com/spreadsheets/d/1eHaY18a8A9IcSdp1K8H6x8fbOy06t2VsZHhMHf-1x7Y/edit?usp=sharing"",""แผน!HB17"")"),0)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IFERROR(__xludf.DUMMYFUNCTION("IMPORTRANGE(""https://docs.google.com/spreadsheets/d/1eHaY18a8A9IcSdp1K8H6x8fbOy06t2VsZHhMHf-1x7Y/edit?usp=sharing"",""แผน!HC17"")"),0)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IFERROR(__xludf.DUMMYFUNCTION("IMPORTRANGE(""https://docs.google.com/spreadsheets/d/1-uDff_7J0KD5mKrp0Vvzr7lt3OU09vwQwhkpOPPYv2Y/edit?usp=sharing"",""งบพรบ!FM17"")"),0)</f>
        <v>0</v>
      </c>
      <c r="M518" s="224">
        <f ca="1">IFERROR(__xludf.DUMMYFUNCTION("IMPORTRANGE(""https://docs.google.com/spreadsheets/d/1-uDff_7J0KD5mKrp0Vvzr7lt3OU09vwQwhkpOPPYv2Y/edit?usp=sharing"",""งบพรบ!FR17"")"),0)</f>
        <v>0</v>
      </c>
      <c r="N518" s="224">
        <f ca="1">IFERROR(__xludf.DUMMYFUNCTION("IMPORTRANGE(""https://docs.google.com/spreadsheets/d/1-uDff_7J0KD5mKrp0Vvzr7lt3OU09vwQwhkpOPPYv2Y/edit?usp=sharing"",""งบพรบ!FT17"")"),0)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IFERROR(__xludf.DUMMYFUNCTION("IMPORTRANGE(""https://docs.google.com/spreadsheets/d/1-uDff_7J0KD5mKrp0Vvzr7lt3OU09vwQwhkpOPPYv2Y/edit?usp=sharing"",""งบพรบ!FP17"")"),0)</f>
        <v>0</v>
      </c>
      <c r="M521" s="224">
        <f ca="1">IFERROR(__xludf.DUMMYFUNCTION("IMPORTRANGE(""https://docs.google.com/spreadsheets/d/1-uDff_7J0KD5mKrp0Vvzr7lt3OU09vwQwhkpOPPYv2Y/edit?usp=sharing"",""งบพรบ!FS17"")"),0)</f>
        <v>0</v>
      </c>
      <c r="N521" s="224">
        <f ca="1">IFERROR(__xludf.DUMMYFUNCTION("IMPORTRANGE(""https://docs.google.com/spreadsheets/d/1-uDff_7J0KD5mKrp0Vvzr7lt3OU09vwQwhkpOPPYv2Y/edit?usp=sharing"",""งบพรบ!FU17"")"),0)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IFERROR(__xludf.DUMMYFUNCTION("IMPORTRANGE(""https://docs.google.com/spreadsheets/d/1-uDff_7J0KD5mKrp0Vvzr7lt3OU09vwQwhkpOPPYv2Y/edit?usp=sharing"",""งบพรบ!FW17"")"),0)</f>
        <v>0</v>
      </c>
      <c r="M539" s="224">
        <f ca="1">IFERROR(__xludf.DUMMYFUNCTION("IMPORTRANGE(""https://docs.google.com/spreadsheets/d/1-uDff_7J0KD5mKrp0Vvzr7lt3OU09vwQwhkpOPPYv2Y/edit?usp=sharing"",""งบพรบ!GB17"")"),0)</f>
        <v>0</v>
      </c>
      <c r="N539" s="224">
        <f ca="1">IFERROR(__xludf.DUMMYFUNCTION("IMPORTRANGE(""https://docs.google.com/spreadsheets/d/1-uDff_7J0KD5mKrp0Vvzr7lt3OU09vwQwhkpOPPYv2Y/edit?usp=sharing"",""งบพรบ!GD17"")"),0)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IFERROR(__xludf.DUMMYFUNCTION("IMPORTRANGE(""https://docs.google.com/spreadsheets/d/1-uDff_7J0KD5mKrp0Vvzr7lt3OU09vwQwhkpOPPYv2Y/edit?usp=sharing"",""งบพรบ!FZ17"")"),0)</f>
        <v>0</v>
      </c>
      <c r="M542" s="224">
        <f ca="1">IFERROR(__xludf.DUMMYFUNCTION("IMPORTRANGE(""https://docs.google.com/spreadsheets/d/1-uDff_7J0KD5mKrp0Vvzr7lt3OU09vwQwhkpOPPYv2Y/edit?usp=sharing"",""งบพรบ!GC17"")"),0)</f>
        <v>0</v>
      </c>
      <c r="N542" s="224">
        <f ca="1">IFERROR(__xludf.DUMMYFUNCTION("IMPORTRANGE(""https://docs.google.com/spreadsheets/d/1-uDff_7J0KD5mKrp0Vvzr7lt3OU09vwQwhkpOPPYv2Y/edit?usp=sharing"",""งบพรบ!GE17"")"),0)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IFERROR(__xludf.DUMMYFUNCTION("IMPORTRANGE(""https://docs.google.com/spreadsheets/d/1-uDff_7J0KD5mKrp0Vvzr7lt3OU09vwQwhkpOPPYv2Y/edit?usp=sharing"",""งบพรบ!GG17"")"),0)</f>
        <v>0</v>
      </c>
      <c r="M560" s="224">
        <f ca="1">IFERROR(__xludf.DUMMYFUNCTION("IMPORTRANGE(""https://docs.google.com/spreadsheets/d/1-uDff_7J0KD5mKrp0Vvzr7lt3OU09vwQwhkpOPPYv2Y/edit?usp=sharing"",""งบพรบ!GL17"")"),0)</f>
        <v>0</v>
      </c>
      <c r="N560" s="224">
        <f ca="1">IFERROR(__xludf.DUMMYFUNCTION("IMPORTRANGE(""https://docs.google.com/spreadsheets/d/1-uDff_7J0KD5mKrp0Vvzr7lt3OU09vwQwhkpOPPYv2Y/edit?usp=sharing"",""งบพรบ!GN17"")"),0)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IFERROR(__xludf.DUMMYFUNCTION("IMPORTRANGE(""https://docs.google.com/spreadsheets/d/1-uDff_7J0KD5mKrp0Vvzr7lt3OU09vwQwhkpOPPYv2Y/edit?usp=sharing"",""งบพรบ!GJ17"")"),0)</f>
        <v>0</v>
      </c>
      <c r="M563" s="224">
        <f ca="1">IFERROR(__xludf.DUMMYFUNCTION("IMPORTRANGE(""https://docs.google.com/spreadsheets/d/1-uDff_7J0KD5mKrp0Vvzr7lt3OU09vwQwhkpOPPYv2Y/edit?usp=sharing"",""งบพรบ!GM17"")"),0)</f>
        <v>0</v>
      </c>
      <c r="N563" s="224">
        <f ca="1">IFERROR(__xludf.DUMMYFUNCTION("IMPORTRANGE(""https://docs.google.com/spreadsheets/d/1-uDff_7J0KD5mKrp0Vvzr7lt3OU09vwQwhkpOPPYv2Y/edit?usp=sharing"",""งบพรบ!GO17"")"),0)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6</v>
      </c>
      <c r="J575" s="365">
        <f>J587</f>
        <v>6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166"/>
      <c r="J576" s="166"/>
      <c r="K576" s="46"/>
      <c r="L576" s="548">
        <f ca="1">L577+L578</f>
        <v>335254</v>
      </c>
      <c r="M576" s="547">
        <f ca="1">M577+M578</f>
        <v>335254</v>
      </c>
      <c r="N576" s="547">
        <f ca="1">N577+N578</f>
        <v>284494</v>
      </c>
      <c r="O576" s="547">
        <f ca="1">IF(L576&gt;0,N576*100/L576,0)</f>
        <v>84.859241053052315</v>
      </c>
      <c r="P576" s="547">
        <f ca="1">IF(M576&gt;0,N576*100/M576,0)</f>
        <v>84.859241053052315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166"/>
      <c r="J577" s="166"/>
      <c r="K577" s="46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166"/>
      <c r="J578" s="166"/>
      <c r="K578" s="46"/>
      <c r="L578" s="545">
        <f ca="1">L581+L584</f>
        <v>335254</v>
      </c>
      <c r="M578" s="224">
        <f ca="1">M581+M584</f>
        <v>335254</v>
      </c>
      <c r="N578" s="224">
        <f ca="1">N581+N584</f>
        <v>284494</v>
      </c>
      <c r="O578" s="224">
        <f ca="1">IF(L578&gt;0,N578*100/L578,0)</f>
        <v>84.859241053052315</v>
      </c>
      <c r="P578" s="224">
        <f ca="1">IF(M578&gt;0,N578*100/M578,0)</f>
        <v>84.859241053052315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51"/>
      <c r="J579" s="151"/>
      <c r="K579" s="152"/>
      <c r="L579" s="545">
        <f ca="1">L580+L581</f>
        <v>335254</v>
      </c>
      <c r="M579" s="224">
        <f ca="1">M580+M581</f>
        <v>335254</v>
      </c>
      <c r="N579" s="224">
        <f ca="1">N580+N581</f>
        <v>284494</v>
      </c>
      <c r="O579" s="224">
        <f ca="1">IF(L579&gt;0,N579*100/L579,0)</f>
        <v>84.859241053052315</v>
      </c>
      <c r="P579" s="224">
        <f ca="1">IF(M579&gt;0,N579*100/M579,0)</f>
        <v>84.859241053052315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51"/>
      <c r="J580" s="151"/>
      <c r="K580" s="152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51"/>
      <c r="J581" s="151"/>
      <c r="K581" s="152"/>
      <c r="L581" s="545">
        <f ca="1">IFERROR(__xludf.DUMMYFUNCTION("IMPORTRANGE(""https://docs.google.com/spreadsheets/d/1-uDff_7J0KD5mKrp0Vvzr7lt3OU09vwQwhkpOPPYv2Y/edit?usp=sharing"",""งบพรบ!GQ17"")"),335254)</f>
        <v>335254</v>
      </c>
      <c r="M581" s="224">
        <f ca="1">IFERROR(__xludf.DUMMYFUNCTION("IMPORTRANGE(""https://docs.google.com/spreadsheets/d/1-uDff_7J0KD5mKrp0Vvzr7lt3OU09vwQwhkpOPPYv2Y/edit?usp=sharing"",""งบพรบ!GV17"")"),335254)</f>
        <v>335254</v>
      </c>
      <c r="N581" s="224">
        <f ca="1">IFERROR(__xludf.DUMMYFUNCTION("IMPORTRANGE(""https://docs.google.com/spreadsheets/d/1-uDff_7J0KD5mKrp0Vvzr7lt3OU09vwQwhkpOPPYv2Y/edit?usp=sharing"",""งบพรบ!GX17"")"),284494)</f>
        <v>284494</v>
      </c>
      <c r="O581" s="224">
        <f ca="1">IF(L581&gt;0,N581*100/L581,0)</f>
        <v>84.859241053052315</v>
      </c>
      <c r="P581" s="224">
        <f ca="1">IF(M581&gt;0,N581*100/M581,0)</f>
        <v>84.859241053052315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51"/>
      <c r="J582" s="151"/>
      <c r="K582" s="152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51"/>
      <c r="J583" s="151"/>
      <c r="K583" s="152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51"/>
      <c r="J584" s="151"/>
      <c r="K584" s="152"/>
      <c r="L584" s="545">
        <f ca="1">IFERROR(__xludf.DUMMYFUNCTION("IMPORTRANGE(""https://docs.google.com/spreadsheets/d/1-uDff_7J0KD5mKrp0Vvzr7lt3OU09vwQwhkpOPPYv2Y/edit?usp=sharing"",""งบพรบ!GT17"")"),0)</f>
        <v>0</v>
      </c>
      <c r="M584" s="224">
        <f ca="1">IFERROR(__xludf.DUMMYFUNCTION("IMPORTRANGE(""https://docs.google.com/spreadsheets/d/1-uDff_7J0KD5mKrp0Vvzr7lt3OU09vwQwhkpOPPYv2Y/edit?usp=sharing"",""งบพรบ!GW17"")"),0)</f>
        <v>0</v>
      </c>
      <c r="N584" s="224">
        <f ca="1">IFERROR(__xludf.DUMMYFUNCTION("IMPORTRANGE(""https://docs.google.com/spreadsheets/d/1-uDff_7J0KD5mKrp0Vvzr7lt3OU09vwQwhkpOPPYv2Y/edit?usp=sharing"",""งบพรบ!GY17"")"),0)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51"/>
      <c r="J585" s="166"/>
      <c r="K585" s="46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658"/>
      <c r="B586" s="411"/>
      <c r="C586" s="402"/>
      <c r="D586" s="410" t="s">
        <v>218</v>
      </c>
      <c r="E586" s="402"/>
      <c r="F586" s="411"/>
      <c r="G586" s="412"/>
      <c r="H586" s="862" t="s">
        <v>79</v>
      </c>
      <c r="I586" s="861">
        <v>4</v>
      </c>
      <c r="J586" s="860">
        <v>2</v>
      </c>
      <c r="K586" s="414">
        <f>IF(I586&gt;0,J586*100/I586,0)</f>
        <v>50</v>
      </c>
      <c r="L586" s="554"/>
      <c r="M586" s="407"/>
      <c r="N586" s="407"/>
      <c r="O586" s="407"/>
      <c r="P586" s="407"/>
      <c r="Q586" s="407"/>
      <c r="R586" s="407"/>
      <c r="S586" s="407"/>
      <c r="T586" s="407"/>
      <c r="U586" s="407"/>
    </row>
    <row r="587" spans="1:21" ht="18.75" x14ac:dyDescent="0.25">
      <c r="A587" s="208"/>
      <c r="B587" s="40"/>
      <c r="C587" s="158"/>
      <c r="D587" s="410" t="s">
        <v>219</v>
      </c>
      <c r="E587" s="158"/>
      <c r="F587" s="40"/>
      <c r="G587" s="42"/>
      <c r="H587" s="43" t="s">
        <v>61</v>
      </c>
      <c r="I587" s="166">
        <v>6</v>
      </c>
      <c r="J587" s="167">
        <v>6</v>
      </c>
      <c r="K587" s="46">
        <f>IF(I587&gt;0,J587*100/I587,0)</f>
        <v>100</v>
      </c>
      <c r="L587" s="543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8275</v>
      </c>
      <c r="M599" s="715">
        <f ca="1">M600+M601</f>
        <v>8275</v>
      </c>
      <c r="N599" s="715">
        <f ca="1">N600+N601</f>
        <v>3000</v>
      </c>
      <c r="O599" s="715">
        <f ca="1">IF(L599&gt;0,N599*100/L599,0)</f>
        <v>36.253776435045317</v>
      </c>
      <c r="P599" s="715">
        <f ca="1">IF(M599&gt;0,N599*100/M599,0)</f>
        <v>36.253776435045317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8275</v>
      </c>
      <c r="M601" s="558">
        <f ca="1">M604+M607</f>
        <v>8275</v>
      </c>
      <c r="N601" s="558">
        <f ca="1">N604+N607</f>
        <v>3000</v>
      </c>
      <c r="O601" s="558">
        <f ca="1">IF(L601&gt;0,N601*100/L601,0)</f>
        <v>36.253776435045317</v>
      </c>
      <c r="P601" s="558">
        <f ca="1">IF(M601&gt;0,N601*100/M601,0)</f>
        <v>36.253776435045317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8275</v>
      </c>
      <c r="M602" s="558">
        <f ca="1">M603+M604</f>
        <v>8275</v>
      </c>
      <c r="N602" s="558">
        <f ca="1">N603+N604</f>
        <v>3000</v>
      </c>
      <c r="O602" s="558">
        <f ca="1">IF(L602&gt;0,N602*100/L602,0)</f>
        <v>36.253776435045317</v>
      </c>
      <c r="P602" s="558">
        <f ca="1">IF(M602&gt;0,N602*100/M602,0)</f>
        <v>36.253776435045317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IFERROR(__xludf.DUMMYFUNCTION("IMPORTRANGE(""https://docs.google.com/spreadsheets/d/1-uDff_7J0KD5mKrp0Vvzr7lt3OU09vwQwhkpOPPYv2Y/edit?usp=sharing"",""งบพรบ!HK17"")"),8275)</f>
        <v>8275</v>
      </c>
      <c r="M604" s="558">
        <f ca="1">IFERROR(__xludf.DUMMYFUNCTION("IMPORTRANGE(""https://docs.google.com/spreadsheets/d/1-uDff_7J0KD5mKrp0Vvzr7lt3OU09vwQwhkpOPPYv2Y/edit?usp=sharing"",""งบพรบ!HP17"")"),8275)</f>
        <v>8275</v>
      </c>
      <c r="N604" s="558">
        <f ca="1">IFERROR(__xludf.DUMMYFUNCTION("IMPORTRANGE(""https://docs.google.com/spreadsheets/d/1-uDff_7J0KD5mKrp0Vvzr7lt3OU09vwQwhkpOPPYv2Y/edit?usp=sharing"",""งบพรบ!HR17"")"),3000)</f>
        <v>3000</v>
      </c>
      <c r="O604" s="558">
        <f ca="1">IF(L604&gt;0,N604*100/L604,0)</f>
        <v>36.253776435045317</v>
      </c>
      <c r="P604" s="558">
        <f ca="1">IF(M604&gt;0,N604*100/M604,0)</f>
        <v>36.253776435045317</v>
      </c>
      <c r="Q604" s="558">
        <f ca="1">IFERROR(__xludf.DUMMYFUNCTION("IMPORTRANGE(""https://docs.google.com/spreadsheets/d/1ItG2mGa2ceCfYo0BwxsXqNm01IGEUdYcSSLTEv9YCik/edit?usp=sharing"",""เบิกจ่ายกองทุน!AV17"")"),0)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IFERROR(__xludf.DUMMYFUNCTION("IMPORTRANGE(""https://docs.google.com/spreadsheets/d/1ItG2mGa2ceCfYo0BwxsXqNm01IGEUdYcSSLTEv9YCik/edit?usp=sharing"",""เบิกจ่ายกองทุน!AW17"")"),0)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IFERROR(__xludf.DUMMYFUNCTION("IMPORTRANGE(""https://docs.google.com/spreadsheets/d/1ItG2mGa2ceCfYo0BwxsXqNm01IGEUdYcSSLTEv9YCik/edit?usp=sharing"",""เบิกจ่ายกองทุน!AX17"")"),0)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IFERROR(__xludf.DUMMYFUNCTION("IMPORTRANGE(""https://docs.google.com/spreadsheets/d/1-uDff_7J0KD5mKrp0Vvzr7lt3OU09vwQwhkpOPPYv2Y/edit?usp=sharing"",""งบพรบ!HN17"")"),0)</f>
        <v>0</v>
      </c>
      <c r="M607" s="558">
        <f ca="1">IFERROR(__xludf.DUMMYFUNCTION("IMPORTRANGE(""https://docs.google.com/spreadsheets/d/1-uDff_7J0KD5mKrp0Vvzr7lt3OU09vwQwhkpOPPYv2Y/edit?usp=sharing"",""งบพรบ!HQ17"")"),0)</f>
        <v>0</v>
      </c>
      <c r="N607" s="558">
        <f ca="1">IFERROR(__xludf.DUMMYFUNCTION("IMPORTRANGE(""https://docs.google.com/spreadsheets/d/1-uDff_7J0KD5mKrp0Vvzr7lt3OU09vwQwhkpOPPYv2Y/edit?usp=sharing"",""งบพรบ!HS17"")"),0)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IFERROR(__xludf.DUMMYFUNCTION("IMPORTRANGE(""https://docs.google.com/spreadsheets/d/1ItG2mGa2ceCfYo0BwxsXqNm01IGEUdYcSSLTEv9YCik/edit?usp=sharing"",""เบิกจ่ายกองทุน!AY17"")"),0)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IFERROR(__xludf.DUMMYFUNCTION("IMPORTRANGE(""https://docs.google.com/spreadsheets/d/1ItG2mGa2ceCfYo0BwxsXqNm01IGEUdYcSSLTEv9YCik/edit?usp=sharing"",""เบิกจ่ายกองทุน!AZ17"")"),0)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IFERROR(__xludf.DUMMYFUNCTION("IMPORTRANGE(""https://docs.google.com/spreadsheets/d/1ItG2mGa2ceCfYo0BwxsXqNm01IGEUdYcSSLTEv9YCik/edit?usp=sharing"",""เบิกจ่ายกองทุน!BA17"")"),0)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1825</v>
      </c>
      <c r="R616" s="547">
        <f ca="1">R617+R618</f>
        <v>1825</v>
      </c>
      <c r="S616" s="547">
        <f ca="1">S617+S618</f>
        <v>1825</v>
      </c>
      <c r="T616" s="547">
        <f ca="1">IF(Q616&gt;0,S616*100/Q616,0)</f>
        <v>100</v>
      </c>
      <c r="U616" s="547">
        <f ca="1">IF(R616&gt;0,S616*100/R616,0)</f>
        <v>100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1825</v>
      </c>
      <c r="R618" s="224">
        <f ca="1">R621+R624</f>
        <v>1825</v>
      </c>
      <c r="S618" s="224">
        <f ca="1">S621+S624</f>
        <v>1825</v>
      </c>
      <c r="T618" s="224">
        <f ca="1">IF(Q618&gt;0,S618*100/Q618,0)</f>
        <v>100</v>
      </c>
      <c r="U618" s="224">
        <f ca="1">IF(R618&gt;0,S618*100/R618,0)</f>
        <v>100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1825</v>
      </c>
      <c r="R619" s="224">
        <f ca="1">R620+R621</f>
        <v>1825</v>
      </c>
      <c r="S619" s="224">
        <f ca="1">S620+S621</f>
        <v>1825</v>
      </c>
      <c r="T619" s="224">
        <f ca="1">IF(Q619&gt;0,S619*100/Q619,0)</f>
        <v>100</v>
      </c>
      <c r="U619" s="224">
        <f ca="1">IF(R619&gt;0,S619*100/R619,0)</f>
        <v>100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IFERROR(__xludf.DUMMYFUNCTION("IMPORTRANGE(""https://docs.google.com/spreadsheets/d/1ItG2mGa2ceCfYo0BwxsXqNm01IGEUdYcSSLTEv9YCik/edit?usp=sharing"",""เบิกจ่ายกองทุน!F17"")"),1825)</f>
        <v>1825</v>
      </c>
      <c r="R621" s="224">
        <f ca="1">IFERROR(__xludf.DUMMYFUNCTION("IMPORTRANGE(""https://docs.google.com/spreadsheets/d/1ItG2mGa2ceCfYo0BwxsXqNm01IGEUdYcSSLTEv9YCik/edit?usp=sharing"",""เบิกจ่ายกองทุน!G17"")"),1825)</f>
        <v>1825</v>
      </c>
      <c r="S621" s="224">
        <f ca="1">IFERROR(__xludf.DUMMYFUNCTION("IMPORTRANGE(""https://docs.google.com/spreadsheets/d/1ItG2mGa2ceCfYo0BwxsXqNm01IGEUdYcSSLTEv9YCik/edit?usp=sharing"",""เบิกจ่ายกองทุน!H17"")"),1825)</f>
        <v>1825</v>
      </c>
      <c r="T621" s="224">
        <f ca="1">IF(Q621&gt;0,S621*100/Q621,0)</f>
        <v>100</v>
      </c>
      <c r="U621" s="224">
        <f ca="1">IF(R621&gt;0,S621*100/R621,0)</f>
        <v>100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IFERROR(__xludf.DUMMYFUNCTION("IMPORTRANGE(""https://docs.google.com/spreadsheets/d/1eHaY18a8A9IcSdp1K8H6x8fbOy06t2VsZHhMHf-1x7Y/edit?usp=sharing"",""แผน!ID17"")"),0)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IFERROR(__xludf.DUMMYFUNCTION("IMPORTRANGE(""https://docs.google.com/spreadsheets/d/1eHaY18a8A9IcSdp1K8H6x8fbOy06t2VsZHhMHf-1x7Y/edit?usp=sharing"",""แผน!IC17"")"),1)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IFERROR(__xludf.DUMMYFUNCTION("IMPORTRANGE(""https://docs.google.com/spreadsheets/d/1eHaY18a8A9IcSdp1K8H6x8fbOy06t2VsZHhMHf-1x7Y/edit?usp=sharing"",""แผน!IC17"")"),1)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IFERROR(__xludf.DUMMYFUNCTION("IMPORTRANGE(""https://docs.google.com/spreadsheets/d/1eHaY18a8A9IcSdp1K8H6x8fbOy06t2VsZHhMHf-1x7Y/edit?usp=sharing"",""แผน!IE17"")"),0)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IFERROR(__xludf.DUMMYFUNCTION("IMPORTRANGE(""https://docs.google.com/spreadsheets/d/1ItG2mGa2ceCfYo0BwxsXqNm01IGEUdYcSSLTEv9YCik/edit?usp=sharing"",""เบิกจ่ายกองทุน!I17"")"),0)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IFERROR(__xludf.DUMMYFUNCTION("IMPORTRANGE(""https://docs.google.com/spreadsheets/d/1ItG2mGa2ceCfYo0BwxsXqNm01IGEUdYcSSLTEv9YCik/edit?usp=sharing"",""เบิกจ่ายกองทุน!J17"")"),0)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IFERROR(__xludf.DUMMYFUNCTION("IMPORTRANGE(""https://docs.google.com/spreadsheets/d/1ItG2mGa2ceCfYo0BwxsXqNm01IGEUdYcSSLTEv9YCik/edit?usp=sharing"",""เบิกจ่ายกองทุน!K17"")"),0)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IFERROR(__xludf.DUMMYFUNCTION("IMPORTRANGE(""https://docs.google.com/spreadsheets/d/1eHaY18a8A9IcSdp1K8H6x8fbOy06t2VsZHhMHf-1x7Y/edit?usp=sharing"",""แผน!IF17"")"),0)</f>
        <v>0</v>
      </c>
      <c r="J652" s="184">
        <f ca="1">IFERROR(__xludf.DUMMYFUNCTION("IMPORTRANGE(""https://docs.google.com/spreadsheets/d/1tdoBKaGub7dwA3U6UFTqxio9LNnvDCQjHKmttSEBsFQ/edit?usp=sharing"",""จัดที่ดิน!AU17"")"),0)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IFERROR(__xludf.DUMMYFUNCTION("IMPORTRANGE(""https://docs.google.com/spreadsheets/d/1eHaY18a8A9IcSdp1K8H6x8fbOy06t2VsZHhMHf-1x7Y/edit?usp=sharing"",""แผน!IG17"")"),0)</f>
        <v>0</v>
      </c>
      <c r="J653" s="184">
        <f ca="1">IFERROR(__xludf.DUMMYFUNCTION("IMPORTRANGE(""https://docs.google.com/spreadsheets/d/1tdoBKaGub7dwA3U6UFTqxio9LNnvDCQjHKmttSEBsFQ/edit?usp=sharing"",""จัดที่ดิน!AW17"")"),0)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IFERROR(__xludf.DUMMYFUNCTION("IMPORTRANGE(""https://docs.google.com/spreadsheets/d/1eHaY18a8A9IcSdp1K8H6x8fbOy06t2VsZHhMHf-1x7Y/edit?usp=sharing"",""แผน!IH17"")"),0)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IFERROR(__xludf.DUMMYFUNCTION("IMPORTRANGE(""https://docs.google.com/spreadsheets/d/1eHaY18a8A9IcSdp1K8H6x8fbOy06t2VsZHhMHf-1x7Y/edit?usp=sharing"",""แผน!II17"")"),0)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IFERROR(__xludf.DUMMYFUNCTION("IMPORTRANGE(""https://docs.google.com/spreadsheets/d/1eHaY18a8A9IcSdp1K8H6x8fbOy06t2VsZHhMHf-1x7Y/edit?usp=sharing"",""แผน!IJ17"")"),0)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IFERROR(__xludf.DUMMYFUNCTION("IMPORTRANGE(""https://docs.google.com/spreadsheets/d/1eHaY18a8A9IcSdp1K8H6x8fbOy06t2VsZHhMHf-1x7Y/edit?usp=sharing"",""แผน!IK17"")"),0)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IFERROR(__xludf.DUMMYFUNCTION("IMPORTRANGE(""https://docs.google.com/spreadsheets/d/1tdoBKaGub7dwA3U6UFTqxio9LNnvDCQjHKmttSEBsFQ/edit?usp=sharing"",""จัดที่ดิน!AY17"")"),0)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IFERROR(__xludf.DUMMYFUNCTION("IMPORTRANGE(""https://docs.google.com/spreadsheets/d/1tdoBKaGub7dwA3U6UFTqxio9LNnvDCQjHKmttSEBsFQ/edit?usp=sharing"",""จัดที่ดิน!AZ17"")"),0)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IFERROR(__xludf.DUMMYFUNCTION("IMPORTRANGE(""https://docs.google.com/spreadsheets/d/1eHaY18a8A9IcSdp1K8H6x8fbOy06t2VsZHhMHf-1x7Y/edit?usp=sharing"",""แผน!IL17"")"),0)</f>
        <v>0</v>
      </c>
      <c r="J673" s="184">
        <f ca="1">IFERROR(__xludf.DUMMYFUNCTION("IMPORTRANGE(""https://docs.google.com/spreadsheets/d/1tdoBKaGub7dwA3U6UFTqxio9LNnvDCQjHKmttSEBsFQ/edit?usp=sharing"",""จัดที่ดิน!BA17"")"),0)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IFERROR(__xludf.DUMMYFUNCTION("IMPORTRANGE(""https://docs.google.com/spreadsheets/d/1eHaY18a8A9IcSdp1K8H6x8fbOy06t2VsZHhMHf-1x7Y/edit?usp=sharing"",""แผน!IM17"")"),0)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IFERROR(__xludf.DUMMYFUNCTION("IMPORTRANGE(""https://docs.google.com/spreadsheets/d/1eHaY18a8A9IcSdp1K8H6x8fbOy06t2VsZHhMHf-1x7Y/edit?usp=sharing"",""แผน!IN17"")"),0)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IFERROR(__xludf.DUMMYFUNCTION("IMPORTRANGE(""https://docs.google.com/spreadsheets/d/1eHaY18a8A9IcSdp1K8H6x8fbOy06t2VsZHhMHf-1x7Y/edit?usp=sharing"",""แผน!IO17"")"),0)</f>
        <v>0</v>
      </c>
      <c r="J676" s="184">
        <f ca="1">IFERROR(__xludf.DUMMYFUNCTION("IMPORTRANGE(""https://docs.google.com/spreadsheets/d/1tdoBKaGub7dwA3U6UFTqxio9LNnvDCQjHKmttSEBsFQ/edit?usp=sharing"",""จัดที่ดิน!BF17"")"),0)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IFERROR(__xludf.DUMMYFUNCTION("IMPORTRANGE(""https://docs.google.com/spreadsheets/d/1tdoBKaGub7dwA3U6UFTqxio9LNnvDCQjHKmttSEBsFQ/edit?usp=sharing"",""จัดที่ดิน!BG17"")"),0)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IFERROR(__xludf.DUMMYFUNCTION("IMPORTRANGE(""https://docs.google.com/spreadsheets/d/1eHaY18a8A9IcSdp1K8H6x8fbOy06t2VsZHhMHf-1x7Y/edit?usp=sharing"",""แผน!IP17"")"),0)</f>
        <v>0</v>
      </c>
      <c r="J678" s="184">
        <f ca="1">IFERROR(__xludf.DUMMYFUNCTION("IMPORTRANGE(""https://docs.google.com/spreadsheets/d/1tdoBKaGub7dwA3U6UFTqxio9LNnvDCQjHKmttSEBsFQ/edit?usp=sharing"",""จัดที่ดิน!BH17"")"),0)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IFERROR(__xludf.DUMMYFUNCTION("IMPORTRANGE(""https://docs.google.com/spreadsheets/d/1eHaY18a8A9IcSdp1K8H6x8fbOy06t2VsZHhMHf-1x7Y/edit?usp=sharing"",""แผน!IQ17"")"),0)</f>
        <v>0</v>
      </c>
      <c r="J679" s="184">
        <f ca="1">IFERROR(__xludf.DUMMYFUNCTION("IMPORTRANGE(""https://docs.google.com/spreadsheets/d/1tdoBKaGub7dwA3U6UFTqxio9LNnvDCQjHKmttSEBsFQ/edit?usp=sharing"",""จัดที่ดิน!BK17"")"),0)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IFERROR(__xludf.DUMMYFUNCTION("IMPORTRANGE(""https://docs.google.com/spreadsheets/d/1tdoBKaGub7dwA3U6UFTqxio9LNnvDCQjHKmttSEBsFQ/edit?usp=sharing"",""จัดที่ดิน!BL17"")"),0)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IFERROR(__xludf.DUMMYFUNCTION("IMPORTRANGE(""https://docs.google.com/spreadsheets/d/1eHaY18a8A9IcSdp1K8H6x8fbOy06t2VsZHhMHf-1x7Y/edit?usp=sharing"",""แผน!IR17"")"),0)</f>
        <v>0</v>
      </c>
      <c r="J681" s="184">
        <f ca="1">IFERROR(__xludf.DUMMYFUNCTION("IMPORTRANGE(""https://docs.google.com/spreadsheets/d/1tdoBKaGub7dwA3U6UFTqxio9LNnvDCQjHKmttSEBsFQ/edit?usp=sharing"",""จัดที่ดิน!BM17"")"),0)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IFERROR(__xludf.DUMMYFUNCTION("IMPORTRANGE(""https://docs.google.com/spreadsheets/d/1eHaY18a8A9IcSdp1K8H6x8fbOy06t2VsZHhMHf-1x7Y/edit?usp=sharing"",""แผน!IS17"")"),0)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15</v>
      </c>
      <c r="J689" s="552">
        <f ca="1">J707</f>
        <v>17</v>
      </c>
      <c r="K689" s="551">
        <f ca="1">IF(I689&gt;0,J689*100/I689,0)</f>
        <v>113.33333333333333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82240</v>
      </c>
      <c r="R690" s="547">
        <f ca="1">R691+R692</f>
        <v>82240</v>
      </c>
      <c r="S690" s="547">
        <f ca="1">S691+S692</f>
        <v>77530</v>
      </c>
      <c r="T690" s="547">
        <f ca="1">IF(Q690&gt;0,S690*100/Q690,0)</f>
        <v>94.272859922178995</v>
      </c>
      <c r="U690" s="547">
        <f ca="1">IF(R690&gt;0,S690*100/R690,0)</f>
        <v>94.272859922178995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82240</v>
      </c>
      <c r="R692" s="224">
        <f ca="1">R695+R698</f>
        <v>82240</v>
      </c>
      <c r="S692" s="224">
        <f ca="1">S695+S698</f>
        <v>77530</v>
      </c>
      <c r="T692" s="224">
        <f ca="1">IF(Q692&gt;0,S692*100/Q692,0)</f>
        <v>94.272859922178995</v>
      </c>
      <c r="U692" s="224">
        <f ca="1">IF(R692&gt;0,S692*100/R692,0)</f>
        <v>94.272859922178995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82240</v>
      </c>
      <c r="R693" s="224">
        <f ca="1">R694+R695</f>
        <v>82240</v>
      </c>
      <c r="S693" s="224">
        <f ca="1">S694+S695</f>
        <v>77530</v>
      </c>
      <c r="T693" s="224">
        <f ca="1">IF(Q693&gt;0,S693*100/Q693,0)</f>
        <v>94.272859922178995</v>
      </c>
      <c r="U693" s="224">
        <f ca="1">IF(R693&gt;0,S693*100/R693,0)</f>
        <v>94.272859922178995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5" s="224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5" s="224">
        <f ca="1">IFERROR(__xludf.DUMMYFUNCTION("IMPORTRANGE(""https://docs.google.com/spreadsheets/d/1ItG2mGa2ceCfYo0BwxsXqNm01IGEUdYcSSLTEv9YCik/edit?usp=sharing"",""เบิกจ่ายกองทุน!N17"")"),77530)</f>
        <v>77530</v>
      </c>
      <c r="T695" s="224">
        <f ca="1">IF(Q695&gt;0,S695*100/Q695,0)</f>
        <v>94.272859922178995</v>
      </c>
      <c r="U695" s="224">
        <f ca="1">IF(R695&gt;0,S695*100/R695,0)</f>
        <v>94.272859922178995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IFERROR(__xludf.DUMMYFUNCTION("IMPORTRANGE(""https://docs.google.com/spreadsheets/d/1eHaY18a8A9IcSdp1K8H6x8fbOy06t2VsZHhMHf-1x7Y/edit?usp=sharing"",""แผน!LC17"")"),0)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20</v>
      </c>
      <c r="J701" s="338">
        <f ca="1">J703+J705</f>
        <v>17</v>
      </c>
      <c r="K701" s="547">
        <f ca="1">IF(I701&gt;0,J701*100/I701,0)</f>
        <v>85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9.8000000000000007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IFERROR(__xludf.DUMMYFUNCTION("IMPORTRANGE(""https://docs.google.com/spreadsheets/d/1eHaY18a8A9IcSdp1K8H6x8fbOy06t2VsZHhMHf-1x7Y/edit?usp=sharing"",""แผน!LJ17"")"),15)</f>
        <v>15</v>
      </c>
      <c r="J703" s="184">
        <f ca="1">IFERROR(__xludf.DUMMYFUNCTION("IMPORTRANGE(""https://docs.google.com/spreadsheets/d/1tdoBKaGub7dwA3U6UFTqxio9LNnvDCQjHKmttSEBsFQ/edit?usp=sharing"",""จัดที่ดิน!AP17"")"),17)</f>
        <v>17</v>
      </c>
      <c r="K703" s="224">
        <f ca="1">IF(I703&gt;0,J703*100/I703,0)</f>
        <v>113.33333333333333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IFERROR(__xludf.DUMMYFUNCTION("IMPORTRANGE(""https://docs.google.com/spreadsheets/d/1tdoBKaGub7dwA3U6UFTqxio9LNnvDCQjHKmttSEBsFQ/edit?usp=sharing"",""จัดที่ดิน!AQ17"")"),9.8)</f>
        <v>9.8000000000000007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IFERROR(__xludf.DUMMYFUNCTION("IMPORTRANGE(""https://docs.google.com/spreadsheets/d/1eHaY18a8A9IcSdp1K8H6x8fbOy06t2VsZHhMHf-1x7Y/edit?usp=sharing"",""แผน!LK17"")"),5)</f>
        <v>5</v>
      </c>
      <c r="J705" s="184">
        <f ca="1">IFERROR(__xludf.DUMMYFUNCTION("IMPORTRANGE(""https://docs.google.com/spreadsheets/d/1tdoBKaGub7dwA3U6UFTqxio9LNnvDCQjHKmttSEBsFQ/edit?usp=sharing"",""จัดที่ดิน!AR17"")"),0)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IFERROR(__xludf.DUMMYFUNCTION("IMPORTRANGE(""https://docs.google.com/spreadsheets/d/1tdoBKaGub7dwA3U6UFTqxio9LNnvDCQjHKmttSEBsFQ/edit?usp=sharing"",""จัดที่ดิน!AS17"")"),0)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IFERROR(__xludf.DUMMYFUNCTION("IMPORTRANGE(""https://docs.google.com/spreadsheets/d/1eHaY18a8A9IcSdp1K8H6x8fbOy06t2VsZHhMHf-1x7Y/edit?usp=sharing"",""แผน!LJ17"")"),15)</f>
        <v>15</v>
      </c>
      <c r="J707" s="184">
        <f ca="1">IFERROR(__xludf.DUMMYFUNCTION("IMPORTRANGE(""https://docs.google.com/spreadsheets/d/1tdoBKaGub7dwA3U6UFTqxio9LNnvDCQjHKmttSEBsFQ/edit?usp=sharing"",""จัดที่ดิน!BN17"")"),17)</f>
        <v>17</v>
      </c>
      <c r="K707" s="224">
        <f ca="1">IF(I707&gt;0,J707*100/I707,0)</f>
        <v>113.33333333333333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IFERROR(__xludf.DUMMYFUNCTION("IMPORTRANGE(""https://docs.google.com/spreadsheets/d/1tdoBKaGub7dwA3U6UFTqxio9LNnvDCQjHKmttSEBsFQ/edit?usp=sharing"",""จัดที่ดิน!BO17"")"),10)</f>
        <v>10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IFERROR(__xludf.DUMMYFUNCTION("IMPORTRANGE(""https://docs.google.com/spreadsheets/d/1eHaY18a8A9IcSdp1K8H6x8fbOy06t2VsZHhMHf-1x7Y/edit?usp=sharing"",""แผน!LK17"")"),5)</f>
        <v>5</v>
      </c>
      <c r="J709" s="184">
        <f ca="1">IFERROR(__xludf.DUMMYFUNCTION("IMPORTRANGE(""https://docs.google.com/spreadsheets/d/1tdoBKaGub7dwA3U6UFTqxio9LNnvDCQjHKmttSEBsFQ/edit?usp=sharing"",""จัดที่ดิน!BP17"")"),2)</f>
        <v>2</v>
      </c>
      <c r="K709" s="224">
        <f ca="1">IF(I709&gt;0,J709*100/I709,0)</f>
        <v>40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IFERROR(__xludf.DUMMYFUNCTION("IMPORTRANGE(""https://docs.google.com/spreadsheets/d/1tdoBKaGub7dwA3U6UFTqxio9LNnvDCQjHKmttSEBsFQ/edit?usp=sharing"",""จัดที่ดิน!BQ17"")"),0)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IFERROR(__xludf.DUMMYFUNCTION("IMPORTRANGE(""https://docs.google.com/spreadsheets/d/1eHaY18a8A9IcSdp1K8H6x8fbOy06t2VsZHhMHf-1x7Y/edit?usp=sharing"",""แผน!GA17"")"),31)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IFERROR(__xludf.DUMMYFUNCTION("IMPORTRANGE(""https://docs.google.com/spreadsheets/d/1eHaY18a8A9IcSdp1K8H6x8fbOy06t2VsZHhMHf-1x7Y/edit?usp=sharing"",""แผน!FZ17"")"),300)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222671</v>
      </c>
      <c r="T728" s="547">
        <f ca="1">IF(Q728&gt;0,S728*100/Q728,0)</f>
        <v>91.805678098175193</v>
      </c>
      <c r="U728" s="547">
        <f ca="1">IF(R728&gt;0,S728*100/R728,0)</f>
        <v>91.805678098175193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222671</v>
      </c>
      <c r="T730" s="224">
        <f ca="1">IF(Q730&gt;0,S730*100/Q730,0)</f>
        <v>91.805678098175193</v>
      </c>
      <c r="U730" s="224">
        <f ca="1">IF(R730&gt;0,S730*100/R730,0)</f>
        <v>91.805678098175193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222671</v>
      </c>
      <c r="T731" s="224">
        <f ca="1">IF(Q731&gt;0,S731*100/Q731,0)</f>
        <v>91.805678098175193</v>
      </c>
      <c r="U731" s="224">
        <f ca="1">IF(R731&gt;0,S731*100/R731,0)</f>
        <v>91.805678098175193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IFERROR(__xludf.DUMMYFUNCTION("IMPORTRANGE(""https://docs.google.com/spreadsheets/d/1ItG2mGa2ceCfYo0BwxsXqNm01IGEUdYcSSLTEv9YCik/edit?usp=sharing"",""เบิกจ่ายกองทุน!Q17"")"),222671)</f>
        <v>222671</v>
      </c>
      <c r="T733" s="224">
        <f ca="1">IF(Q733&gt;0,S733*100/Q733,0)</f>
        <v>91.805678098175193</v>
      </c>
      <c r="U733" s="224">
        <f ca="1">IF(R733&gt;0,S733*100/R733,0)</f>
        <v>91.805678098175193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421"/>
      <c r="B739" s="422"/>
      <c r="C739" s="422"/>
      <c r="D739" s="422"/>
      <c r="E739" s="427" t="s">
        <v>277</v>
      </c>
      <c r="F739" s="422"/>
      <c r="G739" s="428"/>
      <c r="H739" s="560"/>
      <c r="I739" s="406"/>
      <c r="J739" s="406"/>
      <c r="K739" s="407"/>
      <c r="L739" s="554"/>
      <c r="M739" s="407"/>
      <c r="N739" s="407"/>
      <c r="O739" s="407"/>
      <c r="P739" s="407"/>
      <c r="Q739" s="407"/>
      <c r="R739" s="407"/>
      <c r="S739" s="407"/>
      <c r="T739" s="407"/>
      <c r="U739" s="407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IFERROR(__xludf.DUMMYFUNCTION("IMPORTRANGE(""https://docs.google.com/spreadsheets/d/1eHaY18a8A9IcSdp1K8H6x8fbOy06t2VsZHhMHf-1x7Y/edit?usp=sharing"",""แผน!GB17"")"),240)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IFERROR(__xludf.DUMMYFUNCTION("IMPORTRANGE(""https://docs.google.com/spreadsheets/d/1eHaY18a8A9IcSdp1K8H6x8fbOy06t2VsZHhMHf-1x7Y/edit?usp=sharing"",""แผน!GC17"")"),24)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IFERROR(__xludf.DUMMYFUNCTION("IMPORTRANGE(""https://docs.google.com/spreadsheets/d/1eHaY18a8A9IcSdp1K8H6x8fbOy06t2VsZHhMHf-1x7Y/edit?usp=sharing"",""แผน!GD17"")"),60)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IFERROR(__xludf.DUMMYFUNCTION("IMPORTRANGE(""https://docs.google.com/spreadsheets/d/1eHaY18a8A9IcSdp1K8H6x8fbOy06t2VsZHhMHf-1x7Y/edit?usp=sharing"",""แผน!GE17"")"),6)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IFERROR(__xludf.DUMMYFUNCTION("IMPORTRANGE(""https://docs.google.com/spreadsheets/d/1eHaY18a8A9IcSdp1K8H6x8fbOy06t2VsZHhMHf-1x7Y/edit?usp=sharing"",""แผน!GF17"")"),1)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IFERROR(__xludf.DUMMYFUNCTION("IMPORTRANGE(""https://docs.google.com/spreadsheets/d/1eHaY18a8A9IcSdp1K8H6x8fbOy06t2VsZHhMHf-1x7Y/edit?usp=sharing"",""แผน!GB17"")"),240)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IFERROR(__xludf.DUMMYFUNCTION("IMPORTRANGE(""https://docs.google.com/spreadsheets/d/1eHaY18a8A9IcSdp1K8H6x8fbOy06t2VsZHhMHf-1x7Y/edit?usp=sharing"",""แผน!GD17"")"),60)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hidden="1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0</v>
      </c>
      <c r="J758" s="552">
        <f>J772</f>
        <v>0</v>
      </c>
      <c r="K758" s="551">
        <f ca="1">IF(I758&gt;0,J758*100/I758,0)</f>
        <v>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hidden="1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0</v>
      </c>
      <c r="J759" s="552">
        <f>J774</f>
        <v>0</v>
      </c>
      <c r="K759" s="551">
        <f ca="1">IF(I759&gt;0,J759*100/I759,0)</f>
        <v>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hidden="1" x14ac:dyDescent="0.3">
      <c r="A760" s="128"/>
      <c r="B760" s="158"/>
      <c r="C760" s="177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0</v>
      </c>
      <c r="R760" s="547">
        <f ca="1">R761+R762</f>
        <v>0</v>
      </c>
      <c r="S760" s="547">
        <f ca="1">S761+S762</f>
        <v>0</v>
      </c>
      <c r="T760" s="547">
        <f ca="1">IF(Q760&gt;0,S760*100/Q760,0)</f>
        <v>0</v>
      </c>
      <c r="U760" s="547">
        <f ca="1">IF(R760&gt;0,S760*100/R760,0)</f>
        <v>0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0</v>
      </c>
      <c r="R762" s="224">
        <f ca="1">R765+R768</f>
        <v>0</v>
      </c>
      <c r="S762" s="224">
        <f ca="1">S765+S768</f>
        <v>0</v>
      </c>
      <c r="T762" s="224">
        <f ca="1">IF(Q762&gt;0,S762*100/Q762,0)</f>
        <v>0</v>
      </c>
      <c r="U762" s="224">
        <f ca="1">IF(R762&gt;0,S762*100/R762,0)</f>
        <v>0</v>
      </c>
    </row>
    <row r="763" spans="1:21" ht="18.75" hidden="1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0</v>
      </c>
      <c r="R763" s="224">
        <f ca="1">R764+R765</f>
        <v>0</v>
      </c>
      <c r="S763" s="224">
        <f ca="1">S764+S765</f>
        <v>0</v>
      </c>
      <c r="T763" s="224">
        <f ca="1">IF(Q763&gt;0,S763*100/Q763,0)</f>
        <v>0</v>
      </c>
      <c r="U763" s="224">
        <f ca="1">IF(R763&gt;0,S763*100/R763,0)</f>
        <v>0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IFERROR(__xludf.DUMMYFUNCTION("IMPORTRANGE(""https://docs.google.com/spreadsheets/d/1ItG2mGa2ceCfYo0BwxsXqNm01IGEUdYcSSLTEv9YCik/edit?usp=sharing"",""เบิกจ่ายกองทุน!AA17"")"),0)</f>
        <v>0</v>
      </c>
      <c r="R765" s="224">
        <f ca="1">IFERROR(__xludf.DUMMYFUNCTION("IMPORTRANGE(""https://docs.google.com/spreadsheets/d/1ItG2mGa2ceCfYo0BwxsXqNm01IGEUdYcSSLTEv9YCik/edit?usp=sharing"",""เบิกจ่ายกองทุน!AB17"")"),0)</f>
        <v>0</v>
      </c>
      <c r="S765" s="224">
        <f ca="1">IFERROR(__xludf.DUMMYFUNCTION("IMPORTRANGE(""https://docs.google.com/spreadsheets/d/1ItG2mGa2ceCfYo0BwxsXqNm01IGEUdYcSSLTEv9YCik/edit?usp=sharing"",""เบิกจ่ายกองทุน!AC17"")"),0)</f>
        <v>0</v>
      </c>
      <c r="T765" s="224">
        <f ca="1">IF(Q765&gt;0,S765*100/Q765,0)</f>
        <v>0</v>
      </c>
      <c r="U765" s="224">
        <f ca="1">IF(R765&gt;0,S765*100/R765,0)</f>
        <v>0</v>
      </c>
    </row>
    <row r="766" spans="1:21" ht="18.75" hidden="1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hidden="1" x14ac:dyDescent="0.3">
      <c r="A769" s="138"/>
      <c r="B769" s="139"/>
      <c r="C769" s="498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IFERROR(__xludf.DUMMYFUNCTION("IMPORTRANGE(""https://docs.google.com/spreadsheets/d/1eHaY18a8A9IcSdp1K8H6x8fbOy06t2VsZHhMHf-1x7Y/edit?usp=sharing"",""แผน!FI17"")"),2)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hidden="1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IFERROR(__xludf.DUMMYFUNCTION("IMPORTRANGE(""https://docs.google.com/spreadsheets/d/1eHaY18a8A9IcSdp1K8H6x8fbOy06t2VsZHhMHf-1x7Y/edit?usp=sharing"",""แผน!FQ17"")"),0)</f>
        <v>0</v>
      </c>
      <c r="J772" s="380">
        <v>0</v>
      </c>
      <c r="K772" s="224">
        <f ca="1">IF(I772&gt;0,J772*100/I772,0)</f>
        <v>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hidden="1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hidden="1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IFERROR(__xludf.DUMMYFUNCTION("IMPORTRANGE(""https://docs.google.com/spreadsheets/d/1eHaY18a8A9IcSdp1K8H6x8fbOy06t2VsZHhMHf-1x7Y/edit?usp=sharing"",""แผน!FR17"")"),0)</f>
        <v>0</v>
      </c>
      <c r="J774" s="380">
        <v>0</v>
      </c>
      <c r="K774" s="224">
        <f ca="1">IF(I774&gt;0,J774*100/I774,0)</f>
        <v>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hidden="1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IFERROR(__xludf.DUMMYFUNCTION("IMPORTRANGE(""https://docs.google.com/spreadsheets/d/1eHaY18a8A9IcSdp1K8H6x8fbOy06t2VsZHhMHf-1x7Y/edit?usp=sharing"",""แผน!FS17"")"),0)</f>
        <v>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hidden="1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IFERROR(__xludf.DUMMYFUNCTION("IMPORTRANGE(""https://docs.google.com/spreadsheets/d/1eHaY18a8A9IcSdp1K8H6x8fbOy06t2VsZHhMHf-1x7Y/edit?usp=sharing"",""แผน!FT17"")"),0)</f>
        <v>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IFERROR(__xludf.DUMMYFUNCTION("IMPORTRANGE(""https://docs.google.com/spreadsheets/d/10OvvATaaLtwErnr3qtWFcTmtbfpFEt5Bsqel9sXx0uE/edit?usp=sharing"",""งานกองทุน!D17"")"),1748584.73)</f>
        <v>1748584.73</v>
      </c>
      <c r="J778" s="184">
        <f ca="1">IFERROR(__xludf.DUMMYFUNCTION("IMPORTRANGE(""https://docs.google.com/spreadsheets/d/10OvvATaaLtwErnr3qtWFcTmtbfpFEt5Bsqel9sXx0uE/edit?usp=sharing"",""งานกองทุน!F17"")"),1559257.26)</f>
        <v>1559257.26</v>
      </c>
      <c r="K778" s="224">
        <f ca="1">IF(I778&gt;0,J778*100/I778,0)</f>
        <v>89.172530975951048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IFERROR(__xludf.DUMMYFUNCTION("IMPORTRANGE(""https://docs.google.com/spreadsheets/d/10OvvATaaLtwErnr3qtWFcTmtbfpFEt5Bsqel9sXx0uE/edit?usp=sharing"",""งานกองทุน!C17"")"),156)</f>
        <v>156</v>
      </c>
      <c r="J779" s="184">
        <f ca="1">IFERROR(__xludf.DUMMYFUNCTION("IMPORTRANGE(""https://docs.google.com/spreadsheets/d/10OvvATaaLtwErnr3qtWFcTmtbfpFEt5Bsqel9sXx0uE/edit?usp=sharing"",""งานกองทุน!E17"")"),143)</f>
        <v>143</v>
      </c>
      <c r="K779" s="224">
        <f ca="1">IF(I779&gt;0,J779*100/I779,0)</f>
        <v>91.666666666666671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184">
        <f ca="1">IFERROR(__xludf.DUMMYFUNCTION("IMPORTRANGE(""https://docs.google.com/spreadsheets/d/10OvvATaaLtwErnr3qtWFcTmtbfpFEt5Bsqel9sXx0uE/edit?usp=sharing"",""งานกองทุน!K17"")"),891002.19)</f>
        <v>891002.19</v>
      </c>
      <c r="K780" s="224">
        <f ca="1">IF(I780&gt;0,J780*100/I780,0)</f>
        <v>11.573488445788835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IFERROR(__xludf.DUMMYFUNCTION("IMPORTRANGE(""https://docs.google.com/spreadsheets/d/10OvvATaaLtwErnr3qtWFcTmtbfpFEt5Bsqel9sXx0uE/edit?usp=sharing"",""งานกองทุน!H17"")"),324)</f>
        <v>324</v>
      </c>
      <c r="J781" s="184">
        <f ca="1">IFERROR(__xludf.DUMMYFUNCTION("IMPORTRANGE(""https://docs.google.com/spreadsheets/d/10OvvATaaLtwErnr3qtWFcTmtbfpFEt5Bsqel9sXx0uE/edit?usp=sharing"",""งานกองทุน!J17"")"),198)</f>
        <v>198</v>
      </c>
      <c r="K781" s="224">
        <f ca="1">IF(I781&gt;0,J781*100/I781,0)</f>
        <v>61.111111111111114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IFERROR(__xludf.DUMMYFUNCTION("IMPORTRANGE(""https://docs.google.com/spreadsheets/d/10OvvATaaLtwErnr3qtWFcTmtbfpFEt5Bsqel9sXx0uE/edit?usp=sharing"",""งานกองทุน!N17"")"),0)</f>
        <v>0</v>
      </c>
      <c r="J782" s="184">
        <f ca="1">IFERROR(__xludf.DUMMYFUNCTION("IMPORTRANGE(""https://docs.google.com/spreadsheets/d/10OvvATaaLtwErnr3qtWFcTmtbfpFEt5Bsqel9sXx0uE/edit?usp=sharing"",""งานกองทุน!P17"")"),0)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IFERROR(__xludf.DUMMYFUNCTION("IMPORTRANGE(""https://docs.google.com/spreadsheets/d/10OvvATaaLtwErnr3qtWFcTmtbfpFEt5Bsqel9sXx0uE/edit?usp=sharing"",""งานกองทุน!M17"")"),0)</f>
        <v>0</v>
      </c>
      <c r="J783" s="184">
        <f ca="1">IFERROR(__xludf.DUMMYFUNCTION("IMPORTRANGE(""https://docs.google.com/spreadsheets/d/10OvvATaaLtwErnr3qtWFcTmtbfpFEt5Bsqel9sXx0uE/edit?usp=sharing"",""งานกองทุน!O17"")"),0)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IFERROR(__xludf.DUMMYFUNCTION("IMPORTRANGE(""https://docs.google.com/spreadsheets/d/10OvvATaaLtwErnr3qtWFcTmtbfpFEt5Bsqel9sXx0uE/edit?usp=sharing"",""งานกองทุน!S17"")"),3780000)</f>
        <v>3780000</v>
      </c>
      <c r="J784" s="184">
        <f ca="1">IFERROR(__xludf.DUMMYFUNCTION("IMPORTRANGE(""https://docs.google.com/spreadsheets/d/10OvvATaaLtwErnr3qtWFcTmtbfpFEt5Bsqel9sXx0uE/edit?usp=sharing"",""งานกองทุน!U17"")"),1070000)</f>
        <v>1070000</v>
      </c>
      <c r="K784" s="224">
        <f ca="1">IF(I784&gt;0,J784*100/I784,0)</f>
        <v>28.306878306878307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IFERROR(__xludf.DUMMYFUNCTION("IMPORTRANGE(""https://docs.google.com/spreadsheets/d/10OvvATaaLtwErnr3qtWFcTmtbfpFEt5Bsqel9sXx0uE/edit?usp=sharing"",""งานกองทุน!R17"")"),135)</f>
        <v>135</v>
      </c>
      <c r="J785" s="188">
        <f ca="1">IFERROR(__xludf.DUMMYFUNCTION("IMPORTRANGE(""https://docs.google.com/spreadsheets/d/10OvvATaaLtwErnr3qtWFcTmtbfpFEt5Bsqel9sXx0uE/edit?usp=sharing"",""งานกองทุน!T17"")"),34)</f>
        <v>34</v>
      </c>
      <c r="K785" s="508">
        <f ca="1">IF(I785&gt;0,J785*100/I785,0)</f>
        <v>25.185185185185187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1C973-B0ED-4608-9167-8EA281B376E4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325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4073134</v>
      </c>
      <c r="M18" s="755">
        <f ca="1">M19+M20</f>
        <v>4579091</v>
      </c>
      <c r="N18" s="755">
        <f ca="1">N19+N20</f>
        <v>3502986.0100000002</v>
      </c>
      <c r="O18" s="755">
        <f ca="1">IF(L18&gt;0,N18*100/L18,0)</f>
        <v>86.002228505126524</v>
      </c>
      <c r="P18" s="755">
        <f ca="1">IF(M18&gt;0,N18*100/M18,0)</f>
        <v>76.499593696652894</v>
      </c>
      <c r="Q18" s="755">
        <f ca="1">Q19+Q20</f>
        <v>3715662.24</v>
      </c>
      <c r="R18" s="755">
        <f ca="1">R19+R20</f>
        <v>3719862</v>
      </c>
      <c r="S18" s="755">
        <f ca="1">S19+S20</f>
        <v>1969829.45</v>
      </c>
      <c r="T18" s="755">
        <f ca="1">IF(Q18&gt;0,S18*100/Q18,0)</f>
        <v>53.014222573685814</v>
      </c>
      <c r="U18" s="755">
        <f ca="1">IF(R18&gt;0,S18*100/R18,0)</f>
        <v>52.954369006162054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4073134</v>
      </c>
      <c r="M20" s="794">
        <f ca="1">M23+M26</f>
        <v>4579091</v>
      </c>
      <c r="N20" s="794">
        <f ca="1">N23+N26</f>
        <v>3502986.0100000002</v>
      </c>
      <c r="O20" s="794">
        <f ca="1">IF(L20&gt;0,N20*100/L20,0)</f>
        <v>86.002228505126524</v>
      </c>
      <c r="P20" s="794">
        <f ca="1">IF(M20&gt;0,N20*100/M20,0)</f>
        <v>76.499593696652894</v>
      </c>
      <c r="Q20" s="794">
        <f ca="1">Q23+Q26</f>
        <v>3715662.24</v>
      </c>
      <c r="R20" s="794">
        <f ca="1">R23+R26</f>
        <v>3719862</v>
      </c>
      <c r="S20" s="794">
        <f ca="1">S23+S26</f>
        <v>1969829.45</v>
      </c>
      <c r="T20" s="794">
        <f ca="1">IF(Q20&gt;0,S20*100/Q20,0)</f>
        <v>53.014222573685814</v>
      </c>
      <c r="U20" s="794">
        <f ca="1">IF(R20&gt;0,S20*100/R20,0)</f>
        <v>52.954369006162054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4073134</v>
      </c>
      <c r="M21" s="224">
        <f ca="1">M22+M23</f>
        <v>4579091</v>
      </c>
      <c r="N21" s="224">
        <f ca="1">N22+N23</f>
        <v>3502986.0100000002</v>
      </c>
      <c r="O21" s="224">
        <f ca="1">IF(L21&gt;0,N21*100/L21,0)</f>
        <v>86.002228505126524</v>
      </c>
      <c r="P21" s="224">
        <f ca="1">IF(M21&gt;0,N21*100/M21,0)</f>
        <v>76.499593696652894</v>
      </c>
      <c r="Q21" s="224">
        <f ca="1">Q22+Q23</f>
        <v>3715662.24</v>
      </c>
      <c r="R21" s="224">
        <f ca="1">R22+R23</f>
        <v>3719862</v>
      </c>
      <c r="S21" s="224">
        <f ca="1">S22+S23</f>
        <v>1969829.45</v>
      </c>
      <c r="T21" s="224">
        <f ca="1">IF(Q21&gt;0,S21*100/Q21,0)</f>
        <v>53.014222573685814</v>
      </c>
      <c r="U21" s="224">
        <f ca="1">IF(R21&gt;0,S21*100/R21,0)</f>
        <v>52.954369006162054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4073134</v>
      </c>
      <c r="M23" s="224">
        <f ca="1">M49+M64+M77+M99+M122+M144+M162+M191+M178+M271+M287+M308+M325+M338+M361+M380+M418+M498+M518+M539+M560+M581+M604+M621+M647+M695+M719+M733+M765</f>
        <v>4579091</v>
      </c>
      <c r="N23" s="224">
        <f ca="1">N49+N64+N77+N99+N122+N144+N162+N191+N178+N271+N287+N308+N325+N338+N361+N380+N418+N498+N518+N539+N560+N581+N604+N621+N647+N695+N719+N733+N765</f>
        <v>3502986.0100000002</v>
      </c>
      <c r="O23" s="224">
        <f ca="1">IF(L23&gt;0,N23*100/L23,0)</f>
        <v>86.002228505126524</v>
      </c>
      <c r="P23" s="224">
        <f ca="1">IF(M23&gt;0,N23*100/M23,0)</f>
        <v>76.499593696652894</v>
      </c>
      <c r="Q23" s="224">
        <f ca="1">Q77+Q99+Q122+Q144+Q162+Q178+Q191+Q271+Q287+Q308+Q338+Q380+Q397+Q418+Q498+Q604+Q621+Q647+Q695+Q719+Q733+Q765</f>
        <v>3715662.24</v>
      </c>
      <c r="R23" s="224">
        <f ca="1">R77+R99+R122+R144+R162+R178+R191+R271+R287+R308+R338+R380+R397+R418+R498+R604+R621+R647+R695+R719+R733+R765</f>
        <v>3719862</v>
      </c>
      <c r="S23" s="224">
        <f ca="1">S77+S99+S122+S144+S162+S178+S191+S271+S287+S308+S338+S380+S397+S418+S498+S604+S621+S647+S695+S719+S733+S765</f>
        <v>1969829.45</v>
      </c>
      <c r="T23" s="224">
        <f ca="1">IF(Q23&gt;0,S23*100/Q23,0)</f>
        <v>53.014222573685814</v>
      </c>
      <c r="U23" s="224">
        <f ca="1">IF(R23&gt;0,S23*100/R23,0)</f>
        <v>52.954369006162054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0</v>
      </c>
      <c r="N26" s="224">
        <f ca="1">N52+N67+N80+N102+N125+N147+N165+N194+N181+N274+N290+N311+N328+N341+N364+N383+N421+N501+N521+N542+N563+N584+N607+N624+N650+N698+N722+N736+N768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3246699</v>
      </c>
      <c r="M40" s="790">
        <f ca="1">M44+M59+M72+M94+M125+M139+M157+M173+M186+M266+M282+M303+M320+M333+M356</f>
        <v>3752656</v>
      </c>
      <c r="N40" s="790">
        <f ca="1">N44+N59+N72+N94+N125+N139+N157+N173+N186+N266+N282+N303+N320+N333+N356</f>
        <v>3229048.1</v>
      </c>
      <c r="O40" s="790">
        <f ca="1">IF(L40&gt;0,N40*100/L40,0)</f>
        <v>99.456343196582125</v>
      </c>
      <c r="P40" s="790">
        <f ca="1">IF(M40&gt;0,N40*100/M40,0)</f>
        <v>86.047005107848946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586499</v>
      </c>
      <c r="M44" s="784">
        <f ca="1">M45+M46</f>
        <v>853501</v>
      </c>
      <c r="N44" s="784">
        <f ca="1">N45+N46</f>
        <v>778437</v>
      </c>
      <c r="O44" s="784">
        <f ca="1">IF(L44&gt;0,N44*100/L44,0)</f>
        <v>132.72605750393436</v>
      </c>
      <c r="P44" s="784">
        <f ca="1">IF(M44&gt;0,N44*100/M44,0)</f>
        <v>91.205165547550621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586499</v>
      </c>
      <c r="M46" s="778">
        <f ca="1">M49+M52</f>
        <v>853501</v>
      </c>
      <c r="N46" s="778">
        <f ca="1">N49+N52</f>
        <v>778437</v>
      </c>
      <c r="O46" s="778">
        <f ca="1">IF(L46&gt;0,N46*100/L46,0)</f>
        <v>132.72605750393436</v>
      </c>
      <c r="P46" s="778">
        <f ca="1">IF(M46&gt;0,N46*100/M46,0)</f>
        <v>91.205165547550621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586499</v>
      </c>
      <c r="M47" s="224">
        <f ca="1">M48+M49</f>
        <v>853501</v>
      </c>
      <c r="N47" s="224">
        <f ca="1">N48+N49</f>
        <v>778437</v>
      </c>
      <c r="O47" s="224">
        <f ca="1">IF(L47&gt;0,N47*100/L47,0)</f>
        <v>132.72605750393436</v>
      </c>
      <c r="P47" s="224">
        <f ca="1">IF(M47&gt;0,N47*100/M47,0)</f>
        <v>91.205165547550621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IFERROR(__xludf.DUMMYFUNCTION("IMPORTRANGE(""https://docs.google.com/spreadsheets/d/1-uDff_7J0KD5mKrp0Vvzr7lt3OU09vwQwhkpOPPYv2Y/edit?usp=sharing"",""งบพรบ!P18"")"),586499)</f>
        <v>586499</v>
      </c>
      <c r="M49" s="224">
        <f ca="1">IFERROR(__xludf.DUMMYFUNCTION("IMPORTRANGE(""https://docs.google.com/spreadsheets/d/1-uDff_7J0KD5mKrp0Vvzr7lt3OU09vwQwhkpOPPYv2Y/edit?usp=sharing"",""งบพรบ!V18"")"),853501)</f>
        <v>853501</v>
      </c>
      <c r="N49" s="224">
        <f ca="1">IFERROR(__xludf.DUMMYFUNCTION("IMPORTRANGE(""https://docs.google.com/spreadsheets/d/1-uDff_7J0KD5mKrp0Vvzr7lt3OU09vwQwhkpOPPYv2Y/edit?usp=sharing"",""งบพรบ!Y18"")"),778437)</f>
        <v>778437</v>
      </c>
      <c r="O49" s="224">
        <f ca="1">IF(L49&gt;0,N49*100/L49,0)</f>
        <v>132.72605750393436</v>
      </c>
      <c r="P49" s="224">
        <f ca="1">IF(M49&gt;0,N49*100/M49,0)</f>
        <v>91.205165547550621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IFERROR(__xludf.DUMMYFUNCTION("IMPORTRANGE(""https://docs.google.com/spreadsheets/d/1-uDff_7J0KD5mKrp0Vvzr7lt3OU09vwQwhkpOPPYv2Y/edit?usp=sharing"",""งบพรบ!S18"")"),0)</f>
        <v>0</v>
      </c>
      <c r="M52" s="224">
        <f ca="1">IFERROR(__xludf.DUMMYFUNCTION("IMPORTRANGE(""https://docs.google.com/spreadsheets/d/1-uDff_7J0KD5mKrp0Vvzr7lt3OU09vwQwhkpOPPYv2Y/edit?usp=sharing"",""งบพรบ!W18"")"),0)</f>
        <v>0</v>
      </c>
      <c r="N52" s="224">
        <f ca="1">IFERROR(__xludf.DUMMYFUNCTION("IMPORTRANGE(""https://docs.google.com/spreadsheets/d/1-uDff_7J0KD5mKrp0Vvzr7lt3OU09vwQwhkpOPPYv2Y/edit?usp=sharing"",""งบพรบ!Z18"")"),0)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960700</v>
      </c>
      <c r="M59" s="772">
        <f ca="1">M60+M61</f>
        <v>1020240</v>
      </c>
      <c r="N59" s="772">
        <f ca="1">N60+N61</f>
        <v>910000</v>
      </c>
      <c r="O59" s="772">
        <f ca="1">IF(L59&gt;0,N59*100/L59,0)</f>
        <v>94.722598105548045</v>
      </c>
      <c r="P59" s="772">
        <f ca="1">IF(M59&gt;0,N59*100/M59,0)</f>
        <v>89.1946992864424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960700</v>
      </c>
      <c r="M61" s="766">
        <f ca="1">M64+M67</f>
        <v>1020240</v>
      </c>
      <c r="N61" s="766">
        <f ca="1">N64+N67</f>
        <v>910000</v>
      </c>
      <c r="O61" s="766">
        <f ca="1">IF(L61&gt;0,N61*100/L61,0)</f>
        <v>94.722598105548045</v>
      </c>
      <c r="P61" s="766">
        <f ca="1">IF(M61&gt;0,N61*100/M61,0)</f>
        <v>89.1946992864424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960700</v>
      </c>
      <c r="M62" s="224">
        <f ca="1">M63+M64</f>
        <v>1020240</v>
      </c>
      <c r="N62" s="224">
        <f ca="1">N63+N64</f>
        <v>910000</v>
      </c>
      <c r="O62" s="224">
        <f ca="1">IF(L62&gt;0,N62*100/L62,0)</f>
        <v>94.722598105548045</v>
      </c>
      <c r="P62" s="224">
        <f ca="1">IF(M62&gt;0,N62*100/M62,0)</f>
        <v>89.1946992864424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IFERROR(__xludf.DUMMYFUNCTION("IMPORTRANGE(""https://docs.google.com/spreadsheets/d/1-uDff_7J0KD5mKrp0Vvzr7lt3OU09vwQwhkpOPPYv2Y/edit?usp=sharing"",""งบพรบ!AC18"")"),960700)</f>
        <v>960700</v>
      </c>
      <c r="M64" s="224">
        <f ca="1">IFERROR(__xludf.DUMMYFUNCTION("IMPORTRANGE(""https://docs.google.com/spreadsheets/d/1-uDff_7J0KD5mKrp0Vvzr7lt3OU09vwQwhkpOPPYv2Y/edit?usp=sharing"",""งบพรบ!AH18"")"),1020240)</f>
        <v>1020240</v>
      </c>
      <c r="N64" s="224">
        <f ca="1">IFERROR(__xludf.DUMMYFUNCTION("IMPORTRANGE(""https://docs.google.com/spreadsheets/d/1-uDff_7J0KD5mKrp0Vvzr7lt3OU09vwQwhkpOPPYv2Y/edit?usp=sharing"",""งบพรบ!AJ18"")"),910000)</f>
        <v>910000</v>
      </c>
      <c r="O64" s="224">
        <f ca="1">IF(L64&gt;0,N64*100/L64,0)</f>
        <v>94.722598105548045</v>
      </c>
      <c r="P64" s="224">
        <f ca="1">IF(M64&gt;0,N64*100/M64,0)</f>
        <v>89.1946992864424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IFERROR(__xludf.DUMMYFUNCTION("IMPORTRANGE(""https://docs.google.com/spreadsheets/d/1-uDff_7J0KD5mKrp0Vvzr7lt3OU09vwQwhkpOPPYv2Y/edit?usp=sharing"",""งบพรบ!AF18"")"),0)</f>
        <v>0</v>
      </c>
      <c r="M67" s="508">
        <f ca="1">IFERROR(__xludf.DUMMYFUNCTION("IMPORTRANGE(""https://docs.google.com/spreadsheets/d/1-uDff_7J0KD5mKrp0Vvzr7lt3OU09vwQwhkpOPPYv2Y/edit?usp=sharing"",""งบพรบ!AI18"")"),0)</f>
        <v>0</v>
      </c>
      <c r="N67" s="508">
        <f ca="1">IFERROR(__xludf.DUMMYFUNCTION("IMPORTRANGE(""https://docs.google.com/spreadsheets/d/1-uDff_7J0KD5mKrp0Vvzr7lt3OU09vwQwhkpOPPYv2Y/edit?usp=sharing"",""งบพรบ!AK18"")"),0)</f>
        <v>0</v>
      </c>
      <c r="O67" s="508">
        <f ca="1">IF(L67&gt;0,N67*100/L67,0)</f>
        <v>0</v>
      </c>
      <c r="P67" s="508">
        <f ca="1">IF(M67&gt;0,N67*100/M67,0)</f>
        <v>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31</v>
      </c>
      <c r="J71" s="756">
        <f>J83</f>
        <v>31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53522</v>
      </c>
      <c r="O72" s="547">
        <f ca="1">IF(L72&gt;0,N72*100/L72,0)</f>
        <v>37.691549295774649</v>
      </c>
      <c r="P72" s="547">
        <f ca="1">IF(M72&gt;0,N72*100/M72,0)</f>
        <v>37.691549295774649</v>
      </c>
      <c r="Q72" s="547">
        <f ca="1">Q73+Q74</f>
        <v>410120</v>
      </c>
      <c r="R72" s="547">
        <f ca="1">R73+R74</f>
        <v>410120</v>
      </c>
      <c r="S72" s="547">
        <f ca="1">S73+S74</f>
        <v>315960</v>
      </c>
      <c r="T72" s="547">
        <f ca="1">IF(Q72&gt;0,S72*100/Q72,0)</f>
        <v>77.040866087974251</v>
      </c>
      <c r="U72" s="547">
        <f ca="1">IF(R72&gt;0,S72*100/R72,0)</f>
        <v>77.040866087974251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53522</v>
      </c>
      <c r="O74" s="224">
        <f ca="1">IF(L74&gt;0,N74*100/L74,0)</f>
        <v>37.691549295774649</v>
      </c>
      <c r="P74" s="224">
        <f ca="1">IF(M74&gt;0,N74*100/M74,0)</f>
        <v>37.691549295774649</v>
      </c>
      <c r="Q74" s="224">
        <f ca="1">Q77+Q80</f>
        <v>410120</v>
      </c>
      <c r="R74" s="224">
        <f ca="1">R77+R80</f>
        <v>410120</v>
      </c>
      <c r="S74" s="224">
        <f ca="1">S77+S80</f>
        <v>315960</v>
      </c>
      <c r="T74" s="224">
        <f ca="1">IF(Q74&gt;0,S74*100/Q74,0)</f>
        <v>77.040866087974251</v>
      </c>
      <c r="U74" s="224">
        <f ca="1">IF(R74&gt;0,S74*100/R74,0)</f>
        <v>77.040866087974251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53522</v>
      </c>
      <c r="O75" s="224">
        <f ca="1">IF(L75&gt;0,N75*100/L75,0)</f>
        <v>37.691549295774649</v>
      </c>
      <c r="P75" s="224">
        <f ca="1">IF(M75&gt;0,N75*100/M75,0)</f>
        <v>37.691549295774649</v>
      </c>
      <c r="Q75" s="224">
        <f ca="1">Q76+Q77</f>
        <v>410120</v>
      </c>
      <c r="R75" s="224">
        <f ca="1">R76+R77</f>
        <v>410120</v>
      </c>
      <c r="S75" s="224">
        <f ca="1">S76+S77</f>
        <v>315960</v>
      </c>
      <c r="T75" s="224">
        <f ca="1">IF(Q75&gt;0,S75*100/Q75,0)</f>
        <v>77.040866087974251</v>
      </c>
      <c r="U75" s="224">
        <f ca="1">IF(R75&gt;0,S75*100/R75,0)</f>
        <v>77.040866087974251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IFERROR(__xludf.DUMMYFUNCTION("IMPORTRANGE(""https://docs.google.com/spreadsheets/d/1-uDff_7J0KD5mKrp0Vvzr7lt3OU09vwQwhkpOPPYv2Y/edit?usp=sharing"",""งบพรบ!AM18"")"),142000)</f>
        <v>142000</v>
      </c>
      <c r="M77" s="224">
        <f ca="1">IFERROR(__xludf.DUMMYFUNCTION("IMPORTRANGE(""https://docs.google.com/spreadsheets/d/1-uDff_7J0KD5mKrp0Vvzr7lt3OU09vwQwhkpOPPYv2Y/edit?usp=sharing"",""งบพรบ!AR18"")"),142000)</f>
        <v>142000</v>
      </c>
      <c r="N77" s="224">
        <f ca="1">IFERROR(__xludf.DUMMYFUNCTION("IMPORTRANGE(""https://docs.google.com/spreadsheets/d/1-uDff_7J0KD5mKrp0Vvzr7lt3OU09vwQwhkpOPPYv2Y/edit?usp=sharing"",""งบพรบ!AT18"")"),53522)</f>
        <v>53522</v>
      </c>
      <c r="O77" s="224">
        <f ca="1">IF(L77&gt;0,N77*100/L77,0)</f>
        <v>37.691549295774649</v>
      </c>
      <c r="P77" s="224">
        <f ca="1">IF(M77&gt;0,N77*100/M77,0)</f>
        <v>37.691549295774649</v>
      </c>
      <c r="Q77" s="224">
        <f ca="1">IFERROR(__xludf.DUMMYFUNCTION("IMPORTRANGE(""https://docs.google.com/spreadsheets/d/1ItG2mGa2ceCfYo0BwxsXqNm01IGEUdYcSSLTEv9YCik/edit?usp=sharing"",""เบิกจ่ายกองทุน!BH18"")"),410120)</f>
        <v>410120</v>
      </c>
      <c r="R77" s="224">
        <f ca="1">IFERROR(__xludf.DUMMYFUNCTION("IMPORTRANGE(""https://docs.google.com/spreadsheets/d/1ItG2mGa2ceCfYo0BwxsXqNm01IGEUdYcSSLTEv9YCik/edit?usp=sharing"",""เบิกจ่ายกองทุน!BI18"")"),410120)</f>
        <v>410120</v>
      </c>
      <c r="S77" s="224">
        <f ca="1">IFERROR(__xludf.DUMMYFUNCTION("IMPORTRANGE(""https://docs.google.com/spreadsheets/d/1ItG2mGa2ceCfYo0BwxsXqNm01IGEUdYcSSLTEv9YCik/edit?usp=sharing"",""เบิกจ่ายกองทุน!BJ18"")"),315960)</f>
        <v>315960</v>
      </c>
      <c r="T77" s="224">
        <f ca="1">IF(Q77&gt;0,S77*100/Q77,0)</f>
        <v>77.040866087974251</v>
      </c>
      <c r="U77" s="224">
        <f ca="1">IF(R77&gt;0,S77*100/R77,0)</f>
        <v>77.040866087974251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IFERROR(__xludf.DUMMYFUNCTION("IMPORTRANGE(""https://docs.google.com/spreadsheets/d/1-uDff_7J0KD5mKrp0Vvzr7lt3OU09vwQwhkpOPPYv2Y/edit?usp=sharing"",""งบพรบ!AP18"")"),0)</f>
        <v>0</v>
      </c>
      <c r="M80" s="224">
        <f ca="1">IFERROR(__xludf.DUMMYFUNCTION("IMPORTRANGE(""https://docs.google.com/spreadsheets/d/1-uDff_7J0KD5mKrp0Vvzr7lt3OU09vwQwhkpOPPYv2Y/edit?usp=sharing"",""งบพรบ!AS18"")"),0)</f>
        <v>0</v>
      </c>
      <c r="N80" s="224">
        <f ca="1">IFERROR(__xludf.DUMMYFUNCTION("IMPORTRANGE(""https://docs.google.com/spreadsheets/d/1-uDff_7J0KD5mKrp0Vvzr7lt3OU09vwQwhkpOPPYv2Y/edit?usp=sharing"",""งบพรบ!AU18"")"),0)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IFERROR(__xludf.DUMMYFUNCTION("IMPORTRANGE(""https://docs.google.com/spreadsheets/d/1ItG2mGa2ceCfYo0BwxsXqNm01IGEUdYcSSLTEv9YCik/edit?usp=sharing"",""เบิกจ่ายกองทุน!BK18"")"),0)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IFERROR(__xludf.DUMMYFUNCTION("IMPORTRANGE(""https://docs.google.com/spreadsheets/d/1ItG2mGa2ceCfYo0BwxsXqNm01IGEUdYcSSLTEv9YCik/edit?usp=sharing"",""เบิกจ่ายกองทุน!BL18"")"),0)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IFERROR(__xludf.DUMMYFUNCTION("IMPORTRANGE(""https://docs.google.com/spreadsheets/d/1ItG2mGa2ceCfYo0BwxsXqNm01IGEUdYcSSLTEv9YCik/edit?usp=sharing"",""เบิกจ่ายกองทุน!BM18"")"),0)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31</v>
      </c>
      <c r="J83" s="338">
        <f>J85+J87+J89</f>
        <v>31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IFERROR(__xludf.DUMMYFUNCTION("IMPORTRANGE(""https://docs.google.com/spreadsheets/d/1eHaY18a8A9IcSdp1K8H6x8fbOy06t2VsZHhMHf-1x7Y/edit?usp=sharing"",""แผน!H18"")"),1)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IFERROR(__xludf.DUMMYFUNCTION("IMPORTRANGE(""https://docs.google.com/spreadsheets/d/1eHaY18a8A9IcSdp1K8H6x8fbOy06t2VsZHhMHf-1x7Y/edit?usp=sharing"",""แผน!I18"")"),31)</f>
        <v>31</v>
      </c>
      <c r="J85" s="380">
        <v>31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IFERROR(__xludf.DUMMYFUNCTION("IMPORTRANGE(""https://docs.google.com/spreadsheets/d/1eHaY18a8A9IcSdp1K8H6x8fbOy06t2VsZHhMHf-1x7Y/edit?usp=sharing"",""แผน!F18"")"),0)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IFERROR(__xludf.DUMMYFUNCTION("IMPORTRANGE(""https://docs.google.com/spreadsheets/d/1eHaY18a8A9IcSdp1K8H6x8fbOy06t2VsZHhMHf-1x7Y/edit?usp=sharing"",""แผน!G18"")"),0)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IFERROR(__xludf.DUMMYFUNCTION("IMPORTRANGE(""https://docs.google.com/spreadsheets/d/1eHaY18a8A9IcSdp1K8H6x8fbOy06t2VsZHhMHf-1x7Y/edit?usp=sharing"",""แผน!D18"")"),0)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IFERROR(__xludf.DUMMYFUNCTION("IMPORTRANGE(""https://docs.google.com/spreadsheets/d/1eHaY18a8A9IcSdp1K8H6x8fbOy06t2VsZHhMHf-1x7Y/edit?usp=sharing"",""แผน!E18"")"),0)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IFERROR(__xludf.DUMMYFUNCTION("IMPORTRANGE(""https://docs.google.com/spreadsheets/d/1eHaY18a8A9IcSdp1K8H6x8fbOy06t2VsZHhMHf-1x7Y/edit?usp=sharing"",""แผน!J18"")"),1)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25500</v>
      </c>
      <c r="M94" s="547">
        <f ca="1">M95+M96</f>
        <v>25500</v>
      </c>
      <c r="N94" s="547">
        <f ca="1">N95+N96</f>
        <v>25500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64920</v>
      </c>
      <c r="R94" s="547">
        <f ca="1">R95+R96</f>
        <v>64920</v>
      </c>
      <c r="S94" s="547">
        <f ca="1">S95+S96</f>
        <v>34227</v>
      </c>
      <c r="T94" s="547">
        <f ca="1">IF(Q94&gt;0,S94*100/Q94,0)</f>
        <v>52.721811460258778</v>
      </c>
      <c r="U94" s="547">
        <f ca="1">IF(R94&gt;0,S94*100/R94,0)</f>
        <v>52.721811460258778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25500</v>
      </c>
      <c r="M96" s="224">
        <f ca="1">M99+M102</f>
        <v>25500</v>
      </c>
      <c r="N96" s="224">
        <f ca="1">N99+N102</f>
        <v>25500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64920</v>
      </c>
      <c r="R96" s="224">
        <f ca="1">R99+R102</f>
        <v>64920</v>
      </c>
      <c r="S96" s="224">
        <f ca="1">S99+S102</f>
        <v>34227</v>
      </c>
      <c r="T96" s="224">
        <f ca="1">IF(Q96&gt;0,S96*100/Q96,0)</f>
        <v>52.721811460258778</v>
      </c>
      <c r="U96" s="224">
        <f ca="1">IF(R96&gt;0,S96*100/R96,0)</f>
        <v>52.721811460258778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25500</v>
      </c>
      <c r="M97" s="224">
        <f ca="1">M98+M99</f>
        <v>25500</v>
      </c>
      <c r="N97" s="224">
        <f ca="1">N98+N99</f>
        <v>25500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64920</v>
      </c>
      <c r="R97" s="224">
        <f ca="1">R98+R99</f>
        <v>64920</v>
      </c>
      <c r="S97" s="224">
        <f ca="1">S98+S99</f>
        <v>34227</v>
      </c>
      <c r="T97" s="224">
        <f ca="1">IF(Q97&gt;0,S97*100/Q97,0)</f>
        <v>52.721811460258778</v>
      </c>
      <c r="U97" s="224">
        <f ca="1">IF(R97&gt;0,S97*100/R97,0)</f>
        <v>52.721811460258778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IFERROR(__xludf.DUMMYFUNCTION("IMPORTRANGE(""https://docs.google.com/spreadsheets/d/1-uDff_7J0KD5mKrp0Vvzr7lt3OU09vwQwhkpOPPYv2Y/edit?usp=sharing"",""งบพรบ!AW18"")"),25500)</f>
        <v>25500</v>
      </c>
      <c r="M99" s="224">
        <f ca="1">IFERROR(__xludf.DUMMYFUNCTION("IMPORTRANGE(""https://docs.google.com/spreadsheets/d/1-uDff_7J0KD5mKrp0Vvzr7lt3OU09vwQwhkpOPPYv2Y/edit?usp=sharing"",""งบพรบ!BB18"")"),25500)</f>
        <v>25500</v>
      </c>
      <c r="N99" s="224">
        <f ca="1">IFERROR(__xludf.DUMMYFUNCTION("IMPORTRANGE(""https://docs.google.com/spreadsheets/d/1-uDff_7J0KD5mKrp0Vvzr7lt3OU09vwQwhkpOPPYv2Y/edit?usp=sharing"",""งบพรบ!BD18"")"),25500)</f>
        <v>25500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IFERROR(__xludf.DUMMYFUNCTION("IMPORTRANGE(""https://docs.google.com/spreadsheets/d/1ItG2mGa2ceCfYo0BwxsXqNm01IGEUdYcSSLTEv9YCik/edit?usp=sharing"",""เบิกจ่ายกองทุน!AJ18"")"),64920)</f>
        <v>64920</v>
      </c>
      <c r="R99" s="224">
        <f ca="1">IFERROR(__xludf.DUMMYFUNCTION("IMPORTRANGE(""https://docs.google.com/spreadsheets/d/1ItG2mGa2ceCfYo0BwxsXqNm01IGEUdYcSSLTEv9YCik/edit?usp=sharing"",""เบิกจ่ายกองทุน!AK18"")"),64920)</f>
        <v>64920</v>
      </c>
      <c r="S99" s="224">
        <f ca="1">IFERROR(__xludf.DUMMYFUNCTION("IMPORTRANGE(""https://docs.google.com/spreadsheets/d/1ItG2mGa2ceCfYo0BwxsXqNm01IGEUdYcSSLTEv9YCik/edit?usp=sharing"",""เบิกจ่ายกองทุน!AL18"")"),34227)</f>
        <v>34227</v>
      </c>
      <c r="T99" s="224">
        <f ca="1">IF(Q99&gt;0,S99*100/Q99,0)</f>
        <v>52.721811460258778</v>
      </c>
      <c r="U99" s="224">
        <f ca="1">IF(R99&gt;0,S99*100/R99,0)</f>
        <v>52.721811460258778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IFERROR(__xludf.DUMMYFUNCTION("IMPORTRANGE(""https://docs.google.com/spreadsheets/d/1-uDff_7J0KD5mKrp0Vvzr7lt3OU09vwQwhkpOPPYv2Y/edit?usp=sharing"",""งบพรบ!AZ18"")"),0)</f>
        <v>0</v>
      </c>
      <c r="M102" s="224">
        <f ca="1">IFERROR(__xludf.DUMMYFUNCTION("IMPORTRANGE(""https://docs.google.com/spreadsheets/d/1-uDff_7J0KD5mKrp0Vvzr7lt3OU09vwQwhkpOPPYv2Y/edit?usp=sharing"",""งบพรบ!BC18"")"),0)</f>
        <v>0</v>
      </c>
      <c r="N102" s="224">
        <f ca="1">IFERROR(__xludf.DUMMYFUNCTION("IMPORTRANGE(""https://docs.google.com/spreadsheets/d/1-uDff_7J0KD5mKrp0Vvzr7lt3OU09vwQwhkpOPPYv2Y/edit?usp=sharing"",""งบพรบ!BE18"")"),0)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IFERROR(__xludf.DUMMYFUNCTION("IMPORTRANGE(""https://docs.google.com/spreadsheets/d/1eHaY18a8A9IcSdp1K8H6x8fbOy06t2VsZHhMHf-1x7Y/edit?usp=sharing"",""แผน!N18"")"),30)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IFERROR(__xludf.DUMMYFUNCTION("IMPORTRANGE(""https://docs.google.com/spreadsheets/d/1eHaY18a8A9IcSdp1K8H6x8fbOy06t2VsZHhMHf-1x7Y/edit?usp=sharing"",""แผน!O18"")"),10)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IFERROR(__xludf.DUMMYFUNCTION("IMPORTRANGE(""https://docs.google.com/spreadsheets/d/1eHaY18a8A9IcSdp1K8H6x8fbOy06t2VsZHhMHf-1x7Y/edit?usp=sharing"",""แผน!N18"")"),30)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IFERROR(__xludf.DUMMYFUNCTION("IMPORTRANGE(""https://docs.google.com/spreadsheets/d/1eHaY18a8A9IcSdp1K8H6x8fbOy06t2VsZHhMHf-1x7Y/edit?usp=sharing"",""แผน!O18"")"),10)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100</v>
      </c>
      <c r="J116" s="756">
        <f>J127</f>
        <v>100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408480</v>
      </c>
      <c r="R117" s="547">
        <f ca="1">R118+R119</f>
        <v>408480</v>
      </c>
      <c r="S117" s="547">
        <f ca="1">S118+S119</f>
        <v>246443.5</v>
      </c>
      <c r="T117" s="547">
        <f ca="1">IF(Q117&gt;0,S117*100/Q117,0)</f>
        <v>60.331839992166081</v>
      </c>
      <c r="U117" s="547">
        <f ca="1">IF(R117&gt;0,S117*100/R117,0)</f>
        <v>60.331839992166081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408480</v>
      </c>
      <c r="R119" s="224">
        <f ca="1">R122+R125</f>
        <v>408480</v>
      </c>
      <c r="S119" s="224">
        <f ca="1">S122+S125</f>
        <v>246443.5</v>
      </c>
      <c r="T119" s="224">
        <f ca="1">IF(Q119&gt;0,S119*100/Q119,0)</f>
        <v>60.331839992166081</v>
      </c>
      <c r="U119" s="224">
        <f ca="1">IF(R119&gt;0,S119*100/R119,0)</f>
        <v>60.331839992166081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246443.5</v>
      </c>
      <c r="T120" s="224">
        <f ca="1">IF(Q120&gt;0,S120*100/Q120,0)</f>
        <v>60.331839992166081</v>
      </c>
      <c r="U120" s="224">
        <f ca="1">IF(R120&gt;0,S120*100/R120,0)</f>
        <v>60.331839992166081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IFERROR(__xludf.DUMMYFUNCTION("IMPORTRANGE(""https://docs.google.com/spreadsheets/d/1-uDff_7J0KD5mKrp0Vvzr7lt3OU09vwQwhkpOPPYv2Y/edit?usp=sharing"",""งบพรบ!BG18"")"),0)</f>
        <v>0</v>
      </c>
      <c r="M122" s="224">
        <f ca="1">IFERROR(__xludf.DUMMYFUNCTION("IMPORTRANGE(""https://docs.google.com/spreadsheets/d/1-uDff_7J0KD5mKrp0Vvzr7lt3OU09vwQwhkpOPPYv2Y/edit?usp=sharing"",""งบพรบ!BL18"")"),0)</f>
        <v>0</v>
      </c>
      <c r="N122" s="224">
        <f ca="1">IFERROR(__xludf.DUMMYFUNCTION("IMPORTRANGE(""https://docs.google.com/spreadsheets/d/1-uDff_7J0KD5mKrp0Vvzr7lt3OU09vwQwhkpOPPYv2Y/edit?usp=sharing"",""งบพรบ!BN18"")"),0)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IFERROR(__xludf.DUMMYFUNCTION("IMPORTRANGE(""https://docs.google.com/spreadsheets/d/1ItG2mGa2ceCfYo0BwxsXqNm01IGEUdYcSSLTEv9YCik/edit?usp=sharing"",""เบิกจ่ายกองทุน!V18"")"),408480)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IFERROR(__xludf.DUMMYFUNCTION("IMPORTRANGE(""https://docs.google.com/spreadsheets/d/1ItG2mGa2ceCfYo0BwxsXqNm01IGEUdYcSSLTEv9YCik/edit?usp=sharing"",""เบิกจ่ายกองทุน!W18"")"),246443.5)</f>
        <v>246443.5</v>
      </c>
      <c r="T122" s="224">
        <f ca="1">IF(Q122&gt;0,S122*100/Q122,0)</f>
        <v>60.331839992166081</v>
      </c>
      <c r="U122" s="224">
        <f ca="1">IF(R122&gt;0,S122*100/R122,0)</f>
        <v>60.331839992166081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IFERROR(__xludf.DUMMYFUNCTION("IMPORTRANGE(""https://docs.google.com/spreadsheets/d/1-uDff_7J0KD5mKrp0Vvzr7lt3OU09vwQwhkpOPPYv2Y/edit?usp=sharing"",""งบพรบ!BJ18"")"),0)</f>
        <v>0</v>
      </c>
      <c r="M125" s="224">
        <f ca="1">IFERROR(__xludf.DUMMYFUNCTION("IMPORTRANGE(""https://docs.google.com/spreadsheets/d/1-uDff_7J0KD5mKrp0Vvzr7lt3OU09vwQwhkpOPPYv2Y/edit?usp=sharing"",""งบพรบ!BM18"")"),0)</f>
        <v>0</v>
      </c>
      <c r="N125" s="224">
        <f ca="1">IFERROR(__xludf.DUMMYFUNCTION("IMPORTRANGE(""https://docs.google.com/spreadsheets/d/1-uDff_7J0KD5mKrp0Vvzr7lt3OU09vwQwhkpOPPYv2Y/edit?usp=sharing"",""งบพรบ!BO18"")"),0)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IFERROR(__xludf.DUMMYFUNCTION("IMPORTRANGE(""https://docs.google.com/spreadsheets/d/1ItG2mGa2ceCfYo0BwxsXqNm01IGEUdYcSSLTEv9YCik/edit?usp=sharing"",""เบิกจ่ายกองทุน!X18"")"),0)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IFERROR(__xludf.DUMMYFUNCTION("IMPORTRANGE(""https://docs.google.com/spreadsheets/d/1ItG2mGa2ceCfYo0BwxsXqNm01IGEUdYcSSLTEv9YCik/edit?usp=sharing"",""เบิกจ่ายกองทุน!Y18"")"),0)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IFERROR(__xludf.DUMMYFUNCTION("IMPORTRANGE(""https://docs.google.com/spreadsheets/d/1ItG2mGa2ceCfYo0BwxsXqNm01IGEUdYcSSLTEv9YCik/edit?usp=sharing"",""เบิกจ่ายกองทุน!Z18"")"),0)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IFERROR(__xludf.DUMMYFUNCTION("IMPORTRANGE(""https://docs.google.com/spreadsheets/d/1eHaY18a8A9IcSdp1K8H6x8fbOy06t2VsZHhMHf-1x7Y/edit?usp=sharing"",""แผน!FF18"")"),100)</f>
        <v>100</v>
      </c>
      <c r="J127" s="380">
        <v>100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IFERROR(__xludf.DUMMYFUNCTION("IMPORTRANGE(""https://docs.google.com/spreadsheets/d/1eHaY18a8A9IcSdp1K8H6x8fbOy06t2VsZHhMHf-1x7Y/edit?usp=sharing"",""แผน!FG18"")"),3)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IFERROR(__xludf.DUMMYFUNCTION("IMPORTRANGE(""https://docs.google.com/spreadsheets/d/1eHaY18a8A9IcSdp1K8H6x8fbOy06t2VsZHhMHf-1x7Y/edit?usp=sharing"",""แผน!FH18"")"),20)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IFERROR(__xludf.DUMMYFUNCTION("IMPORTRANGE(""https://docs.google.com/spreadsheets/d/1eHaY18a8A9IcSdp1K8H6x8fbOy06t2VsZHhMHf-1x7Y/edit?usp=sharing"",""แผน!FI18"")"),1)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20</v>
      </c>
      <c r="J137" s="756">
        <f>J152</f>
        <v>20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2</v>
      </c>
      <c r="J138" s="756">
        <f>J153</f>
        <v>2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31600</v>
      </c>
      <c r="M139" s="547">
        <f ca="1">M140+M141</f>
        <v>26600</v>
      </c>
      <c r="N139" s="547">
        <f ca="1">N140+N141</f>
        <v>23900</v>
      </c>
      <c r="O139" s="547">
        <f ca="1">IF(L139&gt;0,N139*100/L139,0)</f>
        <v>75.632911392405063</v>
      </c>
      <c r="P139" s="547">
        <f ca="1">IF(M139&gt;0,N139*100/M139,0)</f>
        <v>89.849624060150376</v>
      </c>
      <c r="Q139" s="547">
        <f ca="1">Q140+Q141</f>
        <v>44860</v>
      </c>
      <c r="R139" s="547">
        <f ca="1">R140+R141</f>
        <v>44860</v>
      </c>
      <c r="S139" s="547">
        <f ca="1">S140+S141</f>
        <v>31818</v>
      </c>
      <c r="T139" s="547">
        <f ca="1">IF(Q139&gt;0,S139*100/Q139,0)</f>
        <v>70.927329469460545</v>
      </c>
      <c r="U139" s="547">
        <f ca="1">IF(R139&gt;0,S139*100/R139,0)</f>
        <v>70.927329469460545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31600</v>
      </c>
      <c r="M141" s="224">
        <f ca="1">M144+M147</f>
        <v>26600</v>
      </c>
      <c r="N141" s="224">
        <f ca="1">N144+N147</f>
        <v>23900</v>
      </c>
      <c r="O141" s="224">
        <f ca="1">IF(L141&gt;0,N141*100/L141,0)</f>
        <v>75.632911392405063</v>
      </c>
      <c r="P141" s="224">
        <f ca="1">IF(M141&gt;0,N141*100/M141,0)</f>
        <v>89.849624060150376</v>
      </c>
      <c r="Q141" s="224">
        <f ca="1">Q144+Q147</f>
        <v>44860</v>
      </c>
      <c r="R141" s="224">
        <f ca="1">R144+R147</f>
        <v>44860</v>
      </c>
      <c r="S141" s="224">
        <f ca="1">S144+S147</f>
        <v>31818</v>
      </c>
      <c r="T141" s="224">
        <f ca="1">IF(Q141&gt;0,S141*100/Q141,0)</f>
        <v>70.927329469460545</v>
      </c>
      <c r="U141" s="224">
        <f ca="1">IF(R141&gt;0,S141*100/R141,0)</f>
        <v>70.927329469460545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31600</v>
      </c>
      <c r="M142" s="224">
        <f ca="1">M143+M144</f>
        <v>26600</v>
      </c>
      <c r="N142" s="224">
        <f ca="1">N143+N144</f>
        <v>23900</v>
      </c>
      <c r="O142" s="224">
        <f ca="1">IF(L142&gt;0,N142*100/L142,0)</f>
        <v>75.632911392405063</v>
      </c>
      <c r="P142" s="224">
        <f ca="1">IF(M142&gt;0,N142*100/M142,0)</f>
        <v>89.849624060150376</v>
      </c>
      <c r="Q142" s="224">
        <f ca="1">Q143+Q144</f>
        <v>44860</v>
      </c>
      <c r="R142" s="224">
        <f ca="1">R143+R144</f>
        <v>44860</v>
      </c>
      <c r="S142" s="224">
        <f ca="1">S143+S144</f>
        <v>31818</v>
      </c>
      <c r="T142" s="224">
        <f ca="1">IF(Q142&gt;0,S142*100/Q142,0)</f>
        <v>70.927329469460545</v>
      </c>
      <c r="U142" s="224">
        <f ca="1">IF(R142&gt;0,S142*100/R142,0)</f>
        <v>70.927329469460545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IFERROR(__xludf.DUMMYFUNCTION("IMPORTRANGE(""https://docs.google.com/spreadsheets/d/1-uDff_7J0KD5mKrp0Vvzr7lt3OU09vwQwhkpOPPYv2Y/edit?usp=sharing"",""งบพรบ!BQ18"")"),31600)</f>
        <v>31600</v>
      </c>
      <c r="M144" s="224">
        <f ca="1">IFERROR(__xludf.DUMMYFUNCTION("IMPORTRANGE(""https://docs.google.com/spreadsheets/d/1-uDff_7J0KD5mKrp0Vvzr7lt3OU09vwQwhkpOPPYv2Y/edit?usp=sharing"",""งบพรบ!BV18"")"),26600)</f>
        <v>26600</v>
      </c>
      <c r="N144" s="224">
        <f ca="1">IFERROR(__xludf.DUMMYFUNCTION("IMPORTRANGE(""https://docs.google.com/spreadsheets/d/1-uDff_7J0KD5mKrp0Vvzr7lt3OU09vwQwhkpOPPYv2Y/edit?usp=sharing"",""งบพรบ!BX18"")"),23900)</f>
        <v>23900</v>
      </c>
      <c r="O144" s="224">
        <f ca="1">IF(L144&gt;0,N144*100/L144,0)</f>
        <v>75.632911392405063</v>
      </c>
      <c r="P144" s="224">
        <f ca="1">IF(M144&gt;0,N144*100/M144,0)</f>
        <v>89.849624060150376</v>
      </c>
      <c r="Q144" s="224">
        <f ca="1">IFERROR(__xludf.DUMMYFUNCTION("IMPORTRANGE(""https://docs.google.com/spreadsheets/d/1ItG2mGa2ceCfYo0BwxsXqNm01IGEUdYcSSLTEv9YCik/edit?usp=sharing"",""เบิกจ่ายกองทุน!CF18"")"),44860)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IFERROR(__xludf.DUMMYFUNCTION("IMPORTRANGE(""https://docs.google.com/spreadsheets/d/1ItG2mGa2ceCfYo0BwxsXqNm01IGEUdYcSSLTEv9YCik/edit?usp=sharing"",""เบิกจ่ายกองทุน!CG18"")"),44860)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IFERROR(__xludf.DUMMYFUNCTION("IMPORTRANGE(""https://docs.google.com/spreadsheets/d/1ItG2mGa2ceCfYo0BwxsXqNm01IGEUdYcSSLTEv9YCik/edit?usp=sharing"",""เบิกจ่ายกองทุน!CH18"")"),31818)</f>
        <v>31818</v>
      </c>
      <c r="T144" s="224">
        <f ca="1">IF(Q144&gt;0,S144*100/Q144,0)</f>
        <v>70.927329469460545</v>
      </c>
      <c r="U144" s="224">
        <f ca="1">IF(R144&gt;0,S144*100/R144,0)</f>
        <v>70.927329469460545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IFERROR(__xludf.DUMMYFUNCTION("IMPORTRANGE(""https://docs.google.com/spreadsheets/d/1-uDff_7J0KD5mKrp0Vvzr7lt3OU09vwQwhkpOPPYv2Y/edit?usp=sharing"",""งบพรบ!BT18"")"),0)</f>
        <v>0</v>
      </c>
      <c r="M147" s="224">
        <f ca="1">IFERROR(__xludf.DUMMYFUNCTION("IMPORTRANGE(""https://docs.google.com/spreadsheets/d/1-uDff_7J0KD5mKrp0Vvzr7lt3OU09vwQwhkpOPPYv2Y/edit?usp=sharing"",""งบพรบ!BW18"")"),0)</f>
        <v>0</v>
      </c>
      <c r="N147" s="224">
        <f ca="1">IFERROR(__xludf.DUMMYFUNCTION("IMPORTRANGE(""https://docs.google.com/spreadsheets/d/1-uDff_7J0KD5mKrp0Vvzr7lt3OU09vwQwhkpOPPYv2Y/edit?usp=sharing"",""งบพรบ!BY18"")"),0)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IFERROR(__xludf.DUMMYFUNCTION("IMPORTRANGE(""https://docs.google.com/spreadsheets/d/1ItG2mGa2ceCfYo0BwxsXqNm01IGEUdYcSSLTEv9YCik/edit?usp=sharing"",""เบิกจ่ายกองทุน!CI18"")"),0)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IFERROR(__xludf.DUMMYFUNCTION("IMPORTRANGE(""https://docs.google.com/spreadsheets/d/1ItG2mGa2ceCfYo0BwxsXqNm01IGEUdYcSSLTEv9YCik/edit?usp=sharing"",""เบิกจ่ายกองทุน!CJ18"")"),0)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IFERROR(__xludf.DUMMYFUNCTION("IMPORTRANGE(""https://docs.google.com/spreadsheets/d/1ItG2mGa2ceCfYo0BwxsXqNm01IGEUdYcSSLTEv9YCik/edit?usp=sharing"",""เบิกจ่ายกองทุน!CK18"")"),0)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IFERROR(__xludf.DUMMYFUNCTION("IMPORTRANGE(""https://docs.google.com/spreadsheets/d/1eHaY18a8A9IcSdp1K8H6x8fbOy06t2VsZHhMHf-1x7Y/edit?usp=sharing"",""แผน!U18"")"),0)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IFERROR(__xludf.DUMMYFUNCTION("IMPORTRANGE(""https://docs.google.com/spreadsheets/d/1eHaY18a8A9IcSdp1K8H6x8fbOy06t2VsZHhMHf-1x7Y/edit?usp=sharing"",""แผน!V18"")"),0)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IFERROR(__xludf.DUMMYFUNCTION("IMPORTRANGE(""https://docs.google.com/spreadsheets/d/1eHaY18a8A9IcSdp1K8H6x8fbOy06t2VsZHhMHf-1x7Y/edit?usp=sharing"",""แผน!W18"")"),20)</f>
        <v>20</v>
      </c>
      <c r="J152" s="380">
        <v>20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IFERROR(__xludf.DUMMYFUNCTION("IMPORTRANGE(""https://docs.google.com/spreadsheets/d/1eHaY18a8A9IcSdp1K8H6x8fbOy06t2VsZHhMHf-1x7Y/edit?usp=sharing"",""แผน!X18"")"),2)</f>
        <v>2</v>
      </c>
      <c r="J153" s="380">
        <v>2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IFERROR(__xludf.DUMMYFUNCTION("IMPORTRANGE(""https://docs.google.com/spreadsheets/d/1eHaY18a8A9IcSdp1K8H6x8fbOy06t2VsZHhMHf-1x7Y/edit?usp=sharing"",""แผน!Y18"")"),0)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32</v>
      </c>
      <c r="K156" s="755">
        <f ca="1">IF(I156&gt;0,J156*100/I156,0)</f>
        <v>213.33333333333334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6730</v>
      </c>
      <c r="N157" s="547">
        <f ca="1">N158+N159</f>
        <v>4672</v>
      </c>
      <c r="O157" s="547">
        <f ca="1">IF(L157&gt;0,N157*100/L157,0)</f>
        <v>103.82222222222222</v>
      </c>
      <c r="P157" s="547">
        <f ca="1">IF(M157&gt;0,N157*100/M157,0)</f>
        <v>69.420505200594349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6730</v>
      </c>
      <c r="N159" s="224">
        <f ca="1">N162+N165</f>
        <v>4672</v>
      </c>
      <c r="O159" s="224">
        <f ca="1">IF(L159&gt;0,N159*100/L159,0)</f>
        <v>103.82222222222222</v>
      </c>
      <c r="P159" s="224">
        <f ca="1">IF(M159&gt;0,N159*100/M159,0)</f>
        <v>69.420505200594349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6730</v>
      </c>
      <c r="N160" s="224">
        <f ca="1">N161+N162</f>
        <v>4672</v>
      </c>
      <c r="O160" s="224">
        <f ca="1">IF(L160&gt;0,N160*100/L160,0)</f>
        <v>103.82222222222222</v>
      </c>
      <c r="P160" s="224">
        <f ca="1">IF(M160&gt;0,N160*100/M160,0)</f>
        <v>69.420505200594349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IFERROR(__xludf.DUMMYFUNCTION("IMPORTRANGE(""https://docs.google.com/spreadsheets/d/1-uDff_7J0KD5mKrp0Vvzr7lt3OU09vwQwhkpOPPYv2Y/edit?usp=sharing"",""งบพรบ!CA18"")"),4500)</f>
        <v>4500</v>
      </c>
      <c r="M162" s="224">
        <f ca="1">IFERROR(__xludf.DUMMYFUNCTION("IMPORTRANGE(""https://docs.google.com/spreadsheets/d/1-uDff_7J0KD5mKrp0Vvzr7lt3OU09vwQwhkpOPPYv2Y/edit?usp=sharing"",""งบพรบ!CF18"")"),6730)</f>
        <v>6730</v>
      </c>
      <c r="N162" s="224">
        <f ca="1">IFERROR(__xludf.DUMMYFUNCTION("IMPORTRANGE(""https://docs.google.com/spreadsheets/d/1-uDff_7J0KD5mKrp0Vvzr7lt3OU09vwQwhkpOPPYv2Y/edit?usp=sharing"",""งบพรบ!CH18"")"),4672)</f>
        <v>4672</v>
      </c>
      <c r="O162" s="224">
        <f ca="1">IF(L162&gt;0,N162*100/L162,0)</f>
        <v>103.82222222222222</v>
      </c>
      <c r="P162" s="224">
        <f ca="1">IF(M162&gt;0,N162*100/M162,0)</f>
        <v>69.420505200594349</v>
      </c>
      <c r="Q162" s="224">
        <f ca="1">IFERROR(__xludf.DUMMYFUNCTION("IMPORTRANGE(""https://docs.google.com/spreadsheets/d/1ItG2mGa2ceCfYo0BwxsXqNm01IGEUdYcSSLTEv9YCik/edit?usp=sharing"",""เบิกจ่ายกองทุน!AM18"")"),0)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IFERROR(__xludf.DUMMYFUNCTION("IMPORTRANGE(""https://docs.google.com/spreadsheets/d/1ItG2mGa2ceCfYo0BwxsXqNm01IGEUdYcSSLTEv9YCik/edit?usp=sharing"",""เบิกจ่ายกองทุน!AO18"")"),0)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IFERROR(__xludf.DUMMYFUNCTION("IMPORTRANGE(""https://docs.google.com/spreadsheets/d/1-uDff_7J0KD5mKrp0Vvzr7lt3OU09vwQwhkpOPPYv2Y/edit?usp=sharing"",""งบพรบ!CD18"")"),0)</f>
        <v>0</v>
      </c>
      <c r="M165" s="224">
        <f ca="1">IFERROR(__xludf.DUMMYFUNCTION("IMPORTRANGE(""https://docs.google.com/spreadsheets/d/1-uDff_7J0KD5mKrp0Vvzr7lt3OU09vwQwhkpOPPYv2Y/edit?usp=sharing"",""งบพรบ!CG18"")"),0)</f>
        <v>0</v>
      </c>
      <c r="N165" s="224">
        <f ca="1">IFERROR(__xludf.DUMMYFUNCTION("IMPORTRANGE(""https://docs.google.com/spreadsheets/d/1-uDff_7J0KD5mKrp0Vvzr7lt3OU09vwQwhkpOPPYv2Y/edit?usp=sharing"",""งบพรบ!CI18"")"),0)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IFERROR(__xludf.DUMMYFUNCTION("IMPORTRANGE(""https://docs.google.com/spreadsheets/d/1eHaY18a8A9IcSdp1K8H6x8fbOy06t2VsZHhMHf-1x7Y/edit?usp=sharing"",""แผน!Z18"")"),15)</f>
        <v>15</v>
      </c>
      <c r="J167" s="380">
        <v>32</v>
      </c>
      <c r="K167" s="224">
        <f ca="1">IF(I167&gt;0,J167*100/I167,0)</f>
        <v>213.33333333333334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30550</v>
      </c>
      <c r="N173" s="547">
        <f ca="1">N174+N175</f>
        <v>30550</v>
      </c>
      <c r="O173" s="547">
        <f ca="1">IF(L173&gt;0,N173*100/L173,0)</f>
        <v>155.94691168963757</v>
      </c>
      <c r="P173" s="547">
        <f ca="1">IF(M173&gt;0,N173*100/M173,0)</f>
        <v>100</v>
      </c>
      <c r="Q173" s="547">
        <f ca="1">Q174+Q175</f>
        <v>22960</v>
      </c>
      <c r="R173" s="547">
        <f ca="1">R174+R175</f>
        <v>22960</v>
      </c>
      <c r="S173" s="547">
        <f ca="1">S174+S175</f>
        <v>22960</v>
      </c>
      <c r="T173" s="547">
        <f ca="1">IF(Q173&gt;0,S173*100/Q173,0)</f>
        <v>100</v>
      </c>
      <c r="U173" s="547">
        <f ca="1">IF(R173&gt;0,S173*100/R173,0)</f>
        <v>100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30550</v>
      </c>
      <c r="N175" s="224">
        <f ca="1">N178+N181</f>
        <v>30550</v>
      </c>
      <c r="O175" s="224">
        <f ca="1">IF(L175&gt;0,N175*100/L175,0)</f>
        <v>155.94691168963757</v>
      </c>
      <c r="P175" s="224">
        <f ca="1">IF(M175&gt;0,N175*100/M175,0)</f>
        <v>100</v>
      </c>
      <c r="Q175" s="224">
        <f ca="1">Q178+Q181</f>
        <v>22960</v>
      </c>
      <c r="R175" s="224">
        <f ca="1">R178+R181</f>
        <v>22960</v>
      </c>
      <c r="S175" s="224">
        <f ca="1">S178+S181</f>
        <v>22960</v>
      </c>
      <c r="T175" s="224">
        <f ca="1">IF(Q175&gt;0,S175*100/Q175,0)</f>
        <v>100</v>
      </c>
      <c r="U175" s="224">
        <f ca="1">IF(R175&gt;0,S175*100/R175,0)</f>
        <v>100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30550</v>
      </c>
      <c r="N176" s="224">
        <f ca="1">N177+N178</f>
        <v>30550</v>
      </c>
      <c r="O176" s="224">
        <f ca="1">IF(L176&gt;0,N176*100/L176,0)</f>
        <v>155.94691168963757</v>
      </c>
      <c r="P176" s="224">
        <f ca="1">IF(M176&gt;0,N176*100/M176,0)</f>
        <v>100</v>
      </c>
      <c r="Q176" s="224">
        <f ca="1">Q177+Q178</f>
        <v>22960</v>
      </c>
      <c r="R176" s="224">
        <f ca="1">R177+R178</f>
        <v>22960</v>
      </c>
      <c r="S176" s="224">
        <f ca="1">S177+S178</f>
        <v>22960</v>
      </c>
      <c r="T176" s="224">
        <f ca="1">IF(Q176&gt;0,S176*100/Q176,0)</f>
        <v>100</v>
      </c>
      <c r="U176" s="224">
        <f ca="1">IF(R176&gt;0,S176*100/R176,0)</f>
        <v>100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IFERROR(__xludf.DUMMYFUNCTION("IMPORTRANGE(""https://docs.google.com/spreadsheets/d/1-uDff_7J0KD5mKrp0Vvzr7lt3OU09vwQwhkpOPPYv2Y/edit?usp=sharing"",""งบพรบ!CK18"")"),19590)</f>
        <v>19590</v>
      </c>
      <c r="M178" s="224">
        <f ca="1">IFERROR(__xludf.DUMMYFUNCTION("IMPORTRANGE(""https://docs.google.com/spreadsheets/d/1-uDff_7J0KD5mKrp0Vvzr7lt3OU09vwQwhkpOPPYv2Y/edit?usp=sharing"",""งบพรบ!CP18"")"),30550)</f>
        <v>30550</v>
      </c>
      <c r="N178" s="224">
        <f ca="1">IFERROR(__xludf.DUMMYFUNCTION("IMPORTRANGE(""https://docs.google.com/spreadsheets/d/1-uDff_7J0KD5mKrp0Vvzr7lt3OU09vwQwhkpOPPYv2Y/edit?usp=sharing"",""งบพรบ!CR18"")"),30550)</f>
        <v>30550</v>
      </c>
      <c r="O178" s="224">
        <f ca="1">IF(L178&gt;0,N178*100/L178,0)</f>
        <v>155.94691168963757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IFERROR(__xludf.DUMMYFUNCTION("IMPORTRANGE(""https://docs.google.com/spreadsheets/d/1ItG2mGa2ceCfYo0BwxsXqNm01IGEUdYcSSLTEv9YCik/edit?usp=sharing"",""เบิกจ่ายกองทุน!DG18"")"),22960)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IFERROR(__xludf.DUMMYFUNCTION("IMPORTRANGE(""https://docs.google.com/spreadsheets/d/1ItG2mGa2ceCfYo0BwxsXqNm01IGEUdYcSSLTEv9YCik/edit?usp=sharing"",""เบิกจ่ายกองทุน!DH18"")"),22960)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IFERROR(__xludf.DUMMYFUNCTION("IMPORTRANGE(""https://docs.google.com/spreadsheets/d/1ItG2mGa2ceCfYo0BwxsXqNm01IGEUdYcSSLTEv9YCik/edit?usp=sharing"",""เบิกจ่ายกองทุน!DI18"")"),22960)</f>
        <v>22960</v>
      </c>
      <c r="T178" s="224">
        <f ca="1">IF(Q178&gt;0,S178*100/Q178,0)</f>
        <v>100</v>
      </c>
      <c r="U178" s="224">
        <f ca="1">IF(R178&gt;0,S178*100/R178,0)</f>
        <v>100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IFERROR(__xludf.DUMMYFUNCTION("IMPORTRANGE(""https://docs.google.com/spreadsheets/d/1-uDff_7J0KD5mKrp0Vvzr7lt3OU09vwQwhkpOPPYv2Y/edit?usp=sharing"",""งบพรบ!CN18"")"),0)</f>
        <v>0</v>
      </c>
      <c r="M181" s="224">
        <f ca="1">IFERROR(__xludf.DUMMYFUNCTION("IMPORTRANGE(""https://docs.google.com/spreadsheets/d/1-uDff_7J0KD5mKrp0Vvzr7lt3OU09vwQwhkpOPPYv2Y/edit?usp=sharing"",""งบพรบ!CQ18"")"),0)</f>
        <v>0</v>
      </c>
      <c r="N181" s="224">
        <f ca="1">IFERROR(__xludf.DUMMYFUNCTION("IMPORTRANGE(""https://docs.google.com/spreadsheets/d/1-uDff_7J0KD5mKrp0Vvzr7lt3OU09vwQwhkpOPPYv2Y/edit?usp=sharing"",""งบพรบ!CS18"")"),0)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IFERROR(__xludf.DUMMYFUNCTION("IMPORTRANGE(""https://docs.google.com/spreadsheets/d/1eHaY18a8A9IcSdp1K8H6x8fbOy06t2VsZHhMHf-1x7Y/edit?usp=sharing"",""แผน!AA18"")"),17)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129500</v>
      </c>
      <c r="M186" s="547">
        <f ca="1">M187+M188</f>
        <v>154485</v>
      </c>
      <c r="N186" s="547">
        <f ca="1">N187+N188</f>
        <v>151394</v>
      </c>
      <c r="O186" s="547">
        <f ca="1">IF(L186&gt;0,N186*100/L186,0)</f>
        <v>116.9065637065637</v>
      </c>
      <c r="P186" s="547">
        <f ca="1">IF(M186&gt;0,N186*100/M186,0)</f>
        <v>97.999158494352201</v>
      </c>
      <c r="Q186" s="547">
        <f ca="1">Q187+Q188</f>
        <v>56000</v>
      </c>
      <c r="R186" s="547">
        <f ca="1">R187+R188</f>
        <v>56000</v>
      </c>
      <c r="S186" s="547">
        <f ca="1">S187+S188</f>
        <v>56000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129500</v>
      </c>
      <c r="M188" s="224">
        <f ca="1">M191+M194</f>
        <v>154485</v>
      </c>
      <c r="N188" s="224">
        <f ca="1">N191+N194</f>
        <v>151394</v>
      </c>
      <c r="O188" s="224">
        <f ca="1">IF(L188&gt;0,N188*100/L188,0)</f>
        <v>116.9065637065637</v>
      </c>
      <c r="P188" s="224">
        <f ca="1">IF(M188&gt;0,N188*100/M188,0)</f>
        <v>97.999158494352201</v>
      </c>
      <c r="Q188" s="224">
        <f ca="1">Q191+Q194</f>
        <v>56000</v>
      </c>
      <c r="R188" s="224">
        <f ca="1">R191+R194</f>
        <v>56000</v>
      </c>
      <c r="S188" s="224">
        <f ca="1">S191+S194</f>
        <v>56000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129500</v>
      </c>
      <c r="M189" s="224">
        <f ca="1">M190+M191</f>
        <v>154485</v>
      </c>
      <c r="N189" s="224">
        <f ca="1">N190+N191</f>
        <v>151394</v>
      </c>
      <c r="O189" s="224">
        <f ca="1">IF(L189&gt;0,N189*100/L189,0)</f>
        <v>116.9065637065637</v>
      </c>
      <c r="P189" s="224">
        <f ca="1">IF(M189&gt;0,N189*100/M189,0)</f>
        <v>97.999158494352201</v>
      </c>
      <c r="Q189" s="224">
        <f ca="1">Q190+Q191</f>
        <v>56000</v>
      </c>
      <c r="R189" s="224">
        <f ca="1">R190+R191</f>
        <v>56000</v>
      </c>
      <c r="S189" s="224">
        <f ca="1">S190+S191</f>
        <v>56000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IFERROR(__xludf.DUMMYFUNCTION("IMPORTRANGE(""https://docs.google.com/spreadsheets/d/1-uDff_7J0KD5mKrp0Vvzr7lt3OU09vwQwhkpOPPYv2Y/edit?usp=sharing"",""งบพรบ!CU18"")"),129500)</f>
        <v>129500</v>
      </c>
      <c r="M191" s="224">
        <f ca="1">IFERROR(__xludf.DUMMYFUNCTION("IMPORTRANGE(""https://docs.google.com/spreadsheets/d/1-uDff_7J0KD5mKrp0Vvzr7lt3OU09vwQwhkpOPPYv2Y/edit?usp=sharing"",""งบพรบ!CZ18"")"),154485)</f>
        <v>154485</v>
      </c>
      <c r="N191" s="224">
        <f ca="1">IFERROR(__xludf.DUMMYFUNCTION("IMPORTRANGE(""https://docs.google.com/spreadsheets/d/1-uDff_7J0KD5mKrp0Vvzr7lt3OU09vwQwhkpOPPYv2Y/edit?usp=sharing"",""งบพรบ!DB18"")"),151394)</f>
        <v>151394</v>
      </c>
      <c r="O191" s="224">
        <f ca="1">IF(L191&gt;0,N191*100/L191,0)</f>
        <v>116.9065637065637</v>
      </c>
      <c r="P191" s="224">
        <f ca="1">IF(M191&gt;0,N191*100/M191,0)</f>
        <v>97.999158494352201</v>
      </c>
      <c r="Q191" s="224">
        <f ca="1">IFERROR(__xludf.DUMMYFUNCTION("IMPORTRANGE(""https://docs.google.com/spreadsheets/d/1ItG2mGa2ceCfYo0BwxsXqNm01IGEUdYcSSLTEv9YCik/edit?usp=sharing"",""เบิกจ่ายกองทุน!BQ18"")"),56000)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IFERROR(__xludf.DUMMYFUNCTION("IMPORTRANGE(""https://docs.google.com/spreadsheets/d/1ItG2mGa2ceCfYo0BwxsXqNm01IGEUdYcSSLTEv9YCik/edit?usp=sharing"",""เบิกจ่ายกองทุน!BR18"")"),56000)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IFERROR(__xludf.DUMMYFUNCTION("IMPORTRANGE(""https://docs.google.com/spreadsheets/d/1ItG2mGa2ceCfYo0BwxsXqNm01IGEUdYcSSLTEv9YCik/edit?usp=sharing"",""เบิกจ่ายกองทุน!BS18"")"),56000)</f>
        <v>56000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IFERROR(__xludf.DUMMYFUNCTION("IMPORTRANGE(""https://docs.google.com/spreadsheets/d/1-uDff_7J0KD5mKrp0Vvzr7lt3OU09vwQwhkpOPPYv2Y/edit?usp=sharing"",""งบพรบ!CX18"")"),0)</f>
        <v>0</v>
      </c>
      <c r="M194" s="224">
        <f ca="1">IFERROR(__xludf.DUMMYFUNCTION("IMPORTRANGE(""https://docs.google.com/spreadsheets/d/1-uDff_7J0KD5mKrp0Vvzr7lt3OU09vwQwhkpOPPYv2Y/edit?usp=sharing"",""งบพรบ!DA18"")"),0)</f>
        <v>0</v>
      </c>
      <c r="N194" s="224">
        <f ca="1">IFERROR(__xludf.DUMMYFUNCTION("IMPORTRANGE(""https://docs.google.com/spreadsheets/d/1-uDff_7J0KD5mKrp0Vvzr7lt3OU09vwQwhkpOPPYv2Y/edit?usp=sharing"",""งบพรบ!DC18"")"),0)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IFERROR(__xludf.DUMMYFUNCTION("IMPORTRANGE(""https://docs.google.com/spreadsheets/d/1ItG2mGa2ceCfYo0BwxsXqNm01IGEUdYcSSLTEv9YCik/edit?usp=sharing"",""เบิกจ่ายกองทุน!BT18"")"),0)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IFERROR(__xludf.DUMMYFUNCTION("IMPORTRANGE(""https://docs.google.com/spreadsheets/d/1ItG2mGa2ceCfYo0BwxsXqNm01IGEUdYcSSLTEv9YCik/edit?usp=sharing"",""เบิกจ่ายกองทุน!BU18"")"),0)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IFERROR(__xludf.DUMMYFUNCTION("IMPORTRANGE(""https://docs.google.com/spreadsheets/d/1ItG2mGa2ceCfYo0BwxsXqNm01IGEUdYcSSLTEv9YCik/edit?usp=sharing"",""เบิกจ่ายกองทุน!BV18"")"),0)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IFERROR(__xludf.DUMMYFUNCTION("IMPORTRANGE(""https://docs.google.com/spreadsheets/d/1eHaY18a8A9IcSdp1K8H6x8fbOy06t2VsZHhMHf-1x7Y/edit?usp=sharing"",""แผน!AB18"")"),6000)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IFERROR(__xludf.DUMMYFUNCTION("IMPORTRANGE(""https://docs.google.com/spreadsheets/d/1eHaY18a8A9IcSdp1K8H6x8fbOy06t2VsZHhMHf-1x7Y/edit?usp=sharing"",""แผน!AE18"")"),4)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40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40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20000</v>
      </c>
      <c r="M203" s="45"/>
      <c r="N203" s="547">
        <f>N204+N205+N206+N207</f>
        <v>0</v>
      </c>
      <c r="O203" s="547">
        <f ca="1">IF(L203&gt;0,N203*100/L203,0)</f>
        <v>0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IFERROR(__xludf.DUMMYFUNCTION("IMPORTRANGE(""https://docs.google.com/spreadsheets/d/1eHaY18a8A9IcSdp1K8H6x8fbOy06t2VsZHhMHf-1x7Y/edit?usp=sharing"",""แผน!AG18"")"),4000)</f>
        <v>4000</v>
      </c>
      <c r="M204" s="45"/>
      <c r="N204" s="737">
        <v>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IFERROR(__xludf.DUMMYFUNCTION("IMPORTRANGE(""https://docs.google.com/spreadsheets/d/1eHaY18a8A9IcSdp1K8H6x8fbOy06t2VsZHhMHf-1x7Y/edit?usp=sharing"",""แผน!AH18"")"),0)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IFERROR(__xludf.DUMMYFUNCTION("IMPORTRANGE(""https://docs.google.com/spreadsheets/d/1eHaY18a8A9IcSdp1K8H6x8fbOy06t2VsZHhMHf-1x7Y/edit?usp=sharing"",""แผน!AI18"")"),0)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IFERROR(__xludf.DUMMYFUNCTION("IMPORTRANGE(""https://docs.google.com/spreadsheets/d/1eHaY18a8A9IcSdp1K8H6x8fbOy06t2VsZHhMHf-1x7Y/edit?usp=sharing"",""แผน!LV18"")"),56000)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IFERROR(__xludf.DUMMYFUNCTION("IMPORTRANGE(""https://docs.google.com/spreadsheets/d/1eHaY18a8A9IcSdp1K8H6x8fbOy06t2VsZHhMHf-1x7Y/edit?usp=sharing"",""แผน!AJ18"")"),16000)</f>
        <v>16000</v>
      </c>
      <c r="M207" s="45"/>
      <c r="N207" s="737">
        <v>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IFERROR(__xludf.DUMMYFUNCTION("IMPORTRANGE(""https://docs.google.com/spreadsheets/d/1eHaY18a8A9IcSdp1K8H6x8fbOy06t2VsZHhMHf-1x7Y/edit?usp=sharing"",""แผน!AK18"")"),4)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IFERROR(__xludf.DUMMYFUNCTION("IMPORTRANGE(""https://docs.google.com/spreadsheets/d/1eHaY18a8A9IcSdp1K8H6x8fbOy06t2VsZHhMHf-1x7Y/edit?usp=sharing"",""แผน!JX18"")"),4)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IFERROR(__xludf.DUMMYFUNCTION("IMPORTRANGE(""https://docs.google.com/spreadsheets/d/1eHaY18a8A9IcSdp1K8H6x8fbOy06t2VsZHhMHf-1x7Y/edit?usp=sharing"",""แผน!JY18"")"),0)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IFERROR(__xludf.DUMMYFUNCTION("IMPORTRANGE(""https://docs.google.com/spreadsheets/d/1eHaY18a8A9IcSdp1K8H6x8fbOy06t2VsZHhMHf-1x7Y/edit?usp=sharing"",""แผน!AM18"")"),0)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IFERROR(__xludf.DUMMYFUNCTION("IMPORTRANGE(""https://docs.google.com/spreadsheets/d/1eHaY18a8A9IcSdp1K8H6x8fbOy06t2VsZHhMHf-1x7Y/edit?usp=sharing"",""แผน!AN18"")"),0)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IFERROR(__xludf.DUMMYFUNCTION("IMPORTRANGE(""https://docs.google.com/spreadsheets/d/1eHaY18a8A9IcSdp1K8H6x8fbOy06t2VsZHhMHf-1x7Y/edit?usp=sharing"",""แผน!AO18"")"),0)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IFERROR(__xludf.DUMMYFUNCTION("IMPORTRANGE(""https://docs.google.com/spreadsheets/d/1eHaY18a8A9IcSdp1K8H6x8fbOy06t2VsZHhMHf-1x7Y/edit?usp=sharing"",""แผน!LY18"")"),0)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IFERROR(__xludf.DUMMYFUNCTION("IMPORTRANGE(""https://docs.google.com/spreadsheets/d/1eHaY18a8A9IcSdp1K8H6x8fbOy06t2VsZHhMHf-1x7Y/edit?usp=sharing"",""แผน!AP18"")"),0)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IFERROR(__xludf.DUMMYFUNCTION("IMPORTRANGE(""https://docs.google.com/spreadsheets/d/1eHaY18a8A9IcSdp1K8H6x8fbOy06t2VsZHhMHf-1x7Y/edit?usp=sharing"",""แผน!AP18"")"),0)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100000</v>
      </c>
      <c r="J221" s="302">
        <f>J229</f>
        <v>100000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12500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IFERROR(__xludf.DUMMYFUNCTION("IMPORTRANGE(""https://docs.google.com/spreadsheets/d/1eHaY18a8A9IcSdp1K8H6x8fbOy06t2VsZHhMHf-1x7Y/edit?usp=sharing"",""แผน!AR18"")"),2500)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IFERROR(__xludf.DUMMYFUNCTION("IMPORTRANGE(""https://docs.google.com/spreadsheets/d/1eHaY18a8A9IcSdp1K8H6x8fbOy06t2VsZHhMHf-1x7Y/edit?usp=sharing"",""แผน!AS18"")"),10000)</f>
        <v>10000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IFERROR(__xludf.DUMMYFUNCTION("IMPORTRANGE(""https://docs.google.com/spreadsheets/d/1eHaY18a8A9IcSdp1K8H6x8fbOy06t2VsZHhMHf-1x7Y/edit?usp=sharing"",""แผน!AT18"")"),0)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IFERROR(__xludf.DUMMYFUNCTION("IMPORTRANGE(""https://docs.google.com/spreadsheets/d/1eHaY18a8A9IcSdp1K8H6x8fbOy06t2VsZHhMHf-1x7Y/edit?usp=sharing"",""แผน!AV18"")"),100000)</f>
        <v>100000</v>
      </c>
      <c r="J228" s="380">
        <v>100000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IFERROR(__xludf.DUMMYFUNCTION("IMPORTRANGE(""https://docs.google.com/spreadsheets/d/1eHaY18a8A9IcSdp1K8H6x8fbOy06t2VsZHhMHf-1x7Y/edit?usp=sharing"",""แผน!AV18"")"),100000)</f>
        <v>100000</v>
      </c>
      <c r="J229" s="380">
        <v>100000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IFERROR(__xludf.DUMMYFUNCTION("IMPORTRANGE(""https://docs.google.com/spreadsheets/d/1eHaY18a8A9IcSdp1K8H6x8fbOy06t2VsZHhMHf-1x7Y/edit?usp=sharing"",""แผน!AU18"")"),0)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IFERROR(__xludf.DUMMYFUNCTION("IMPORTRANGE(""https://docs.google.com/spreadsheets/d/1eHaY18a8A9IcSdp1K8H6x8fbOy06t2VsZHhMHf-1x7Y/edit?usp=sharing"",""แผน!AX18"")"),0)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IFERROR(__xludf.DUMMYFUNCTION("IMPORTRANGE(""https://docs.google.com/spreadsheets/d/1eHaY18a8A9IcSdp1K8H6x8fbOy06t2VsZHhMHf-1x7Y/edit?usp=sharing"",""แผน!AY18"")"),0)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IFERROR(__xludf.DUMMYFUNCTION("IMPORTRANGE(""https://docs.google.com/spreadsheets/d/1eHaY18a8A9IcSdp1K8H6x8fbOy06t2VsZHhMHf-1x7Y/edit?usp=sharing"",""แผน!AZ18"")"),0)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IFERROR(__xludf.DUMMYFUNCTION("IMPORTRANGE(""https://docs.google.com/spreadsheets/d/1eHaY18a8A9IcSdp1K8H6x8fbOy06t2VsZHhMHf-1x7Y/edit?usp=sharing"",""แผน!BA18"")"),0)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IFERROR(__xludf.DUMMYFUNCTION("IMPORTRANGE(""https://docs.google.com/spreadsheets/d/1eHaY18a8A9IcSdp1K8H6x8fbOy06t2VsZHhMHf-1x7Y/edit?usp=sharing"",""แผน!BG18"")"),0)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IFERROR(__xludf.DUMMYFUNCTION("IMPORTRANGE(""https://docs.google.com/spreadsheets/d/1eHaY18a8A9IcSdp1K8H6x8fbOy06t2VsZHhMHf-1x7Y/edit?usp=sharing"",""แผน!BB18"")"),0)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IFERROR(__xludf.DUMMYFUNCTION("IMPORTRANGE(""https://docs.google.com/spreadsheets/d/1eHaY18a8A9IcSdp1K8H6x8fbOy06t2VsZHhMHf-1x7Y/edit?usp=sharing"",""แผน!BC18"")"),0)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IFERROR(__xludf.DUMMYFUNCTION("IMPORTRANGE(""https://docs.google.com/spreadsheets/d/1eHaY18a8A9IcSdp1K8H6x8fbOy06t2VsZHhMHf-1x7Y/edit?usp=sharing"",""แผน!BD18"")"),0)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IFERROR(__xludf.DUMMYFUNCTION("IMPORTRANGE(""https://docs.google.com/spreadsheets/d/1eHaY18a8A9IcSdp1K8H6x8fbOy06t2VsZHhMHf-1x7Y/edit?usp=sharing"",""แผน!BE18"")"),0)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IFERROR(__xludf.DUMMYFUNCTION("IMPORTRANGE(""https://docs.google.com/spreadsheets/d/1eHaY18a8A9IcSdp1K8H6x8fbOy06t2VsZHhMHf-1x7Y/edit?usp=sharing"",""แผน!BH18"")"),0)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23</v>
      </c>
      <c r="K265" s="720">
        <f ca="1">IF(I265&gt;0,J265*100/I265,0)</f>
        <v>95.833333333333329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18000</v>
      </c>
      <c r="N266" s="715">
        <f ca="1">N267+N268</f>
        <v>18000</v>
      </c>
      <c r="O266" s="715">
        <f ca="1">IF(L266&gt;0,N266*100/L266,0)</f>
        <v>360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53440</v>
      </c>
      <c r="S266" s="715">
        <f ca="1">S267+S268</f>
        <v>50480</v>
      </c>
      <c r="T266" s="715">
        <f ca="1">IF(Q266&gt;0,S266*100/Q266,0)</f>
        <v>94.461077844311376</v>
      </c>
      <c r="U266" s="715">
        <f ca="1">IF(R266&gt;0,S266*100/R266,0)</f>
        <v>94.461077844311376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18000</v>
      </c>
      <c r="N268" s="558">
        <f ca="1">N271+N274</f>
        <v>18000</v>
      </c>
      <c r="O268" s="558">
        <f ca="1">IF(L268&gt;0,N268*100/L268,0)</f>
        <v>360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53440</v>
      </c>
      <c r="S268" s="558">
        <f ca="1">S271+S274</f>
        <v>50480</v>
      </c>
      <c r="T268" s="558">
        <f ca="1">IF(Q268&gt;0,S268*100/Q268,0)</f>
        <v>94.461077844311376</v>
      </c>
      <c r="U268" s="558">
        <f ca="1">IF(R268&gt;0,S268*100/R268,0)</f>
        <v>94.461077844311376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18000</v>
      </c>
      <c r="N269" s="558">
        <f ca="1">N270+N271</f>
        <v>18000</v>
      </c>
      <c r="O269" s="558">
        <f ca="1">IF(L269&gt;0,N269*100/L269,0)</f>
        <v>360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53440</v>
      </c>
      <c r="S269" s="558">
        <f ca="1">S270+S271</f>
        <v>50480</v>
      </c>
      <c r="T269" s="558">
        <f ca="1">IF(Q269&gt;0,S269*100/Q269,0)</f>
        <v>94.461077844311376</v>
      </c>
      <c r="U269" s="558">
        <f ca="1">IF(R269&gt;0,S269*100/R269,0)</f>
        <v>94.461077844311376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IFERROR(__xludf.DUMMYFUNCTION("IMPORTRANGE(""https://docs.google.com/spreadsheets/d/1-uDff_7J0KD5mKrp0Vvzr7lt3OU09vwQwhkpOPPYv2Y/edit?usp=sharing"",""งบพรบ!DE18"")"),5000)</f>
        <v>5000</v>
      </c>
      <c r="M271" s="558">
        <f ca="1">IFERROR(__xludf.DUMMYFUNCTION("IMPORTRANGE(""https://docs.google.com/spreadsheets/d/1-uDff_7J0KD5mKrp0Vvzr7lt3OU09vwQwhkpOPPYv2Y/edit?usp=sharing"",""งบพรบ!DJ18"")"),18000)</f>
        <v>18000</v>
      </c>
      <c r="N271" s="558">
        <f ca="1">IFERROR(__xludf.DUMMYFUNCTION("IMPORTRANGE(""https://docs.google.com/spreadsheets/d/1-uDff_7J0KD5mKrp0Vvzr7lt3OU09vwQwhkpOPPYv2Y/edit?usp=sharing"",""งบพรบ!DL18"")"),18000)</f>
        <v>18000</v>
      </c>
      <c r="O271" s="558">
        <f ca="1">IF(L271&gt;0,N271*100/L271,0)</f>
        <v>360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IFERROR(__xludf.DUMMYFUNCTION("IMPORTRANGE(""https://docs.google.com/spreadsheets/d/1ItG2mGa2ceCfYo0BwxsXqNm01IGEUdYcSSLTEv9YCik/edit?usp=sharing"",""เบิกจ่ายกองทุน!AP18"")"),53440)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IFERROR(__xludf.DUMMYFUNCTION("IMPORTRANGE(""https://docs.google.com/spreadsheets/d/1ItG2mGa2ceCfYo0BwxsXqNm01IGEUdYcSSLTEv9YCik/edit?usp=sharing"",""เบิกจ่ายกองทุน!AQ18"")"),53440)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IFERROR(__xludf.DUMMYFUNCTION("IMPORTRANGE(""https://docs.google.com/spreadsheets/d/1ItG2mGa2ceCfYo0BwxsXqNm01IGEUdYcSSLTEv9YCik/edit?usp=sharing"",""เบิกจ่ายกองทุน!AR18"")"),50480)</f>
        <v>50480</v>
      </c>
      <c r="T271" s="558">
        <f ca="1">IF(Q271&gt;0,S271*100/Q271,0)</f>
        <v>94.461077844311376</v>
      </c>
      <c r="U271" s="558">
        <f ca="1">IF(R271&gt;0,S271*100/R271,0)</f>
        <v>94.461077844311376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IFERROR(__xludf.DUMMYFUNCTION("IMPORTRANGE(""https://docs.google.com/spreadsheets/d/1-uDff_7J0KD5mKrp0Vvzr7lt3OU09vwQwhkpOPPYv2Y/edit?usp=sharing"",""งบพรบ!DH18"")"),0)</f>
        <v>0</v>
      </c>
      <c r="M274" s="558">
        <f ca="1">IFERROR(__xludf.DUMMYFUNCTION("IMPORTRANGE(""https://docs.google.com/spreadsheets/d/1-uDff_7J0KD5mKrp0Vvzr7lt3OU09vwQwhkpOPPYv2Y/edit?usp=sharing"",""งบพรบ!DK18"")"),0)</f>
        <v>0</v>
      </c>
      <c r="N274" s="558">
        <f ca="1">IFERROR(__xludf.DUMMYFUNCTION("IMPORTRANGE(""https://docs.google.com/spreadsheets/d/1-uDff_7J0KD5mKrp0Vvzr7lt3OU09vwQwhkpOPPYv2Y/edit?usp=sharing"",""งบพรบ!DM18"")"),0)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IFERROR(__xludf.DUMMYFUNCTION("IMPORTRANGE(""https://docs.google.com/spreadsheets/d/1eHaY18a8A9IcSdp1K8H6x8fbOy06t2VsZHhMHf-1x7Y/edit?usp=sharing"",""แผน!EC18"")"),24)</f>
        <v>24</v>
      </c>
      <c r="J276" s="377">
        <v>23</v>
      </c>
      <c r="K276" s="376">
        <f ca="1">IF(I276&gt;0,J276*100/I276,0)</f>
        <v>95.833333333333329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50</v>
      </c>
      <c r="J280" s="697">
        <f>J293</f>
        <v>50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500</v>
      </c>
      <c r="J281" s="697">
        <f>J292</f>
        <v>500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236720</v>
      </c>
      <c r="M282" s="547">
        <f ca="1">M283+M284</f>
        <v>243020</v>
      </c>
      <c r="N282" s="547">
        <f ca="1">N283+N284</f>
        <v>214070.1</v>
      </c>
      <c r="O282" s="547">
        <f ca="1">IF(L282&gt;0,N282*100/L282,0)</f>
        <v>90.431775937816823</v>
      </c>
      <c r="P282" s="547">
        <f ca="1">IF(M282&gt;0,N282*100/M282,0)</f>
        <v>88.087441362850797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236720</v>
      </c>
      <c r="M284" s="224">
        <f ca="1">M287+M290</f>
        <v>243020</v>
      </c>
      <c r="N284" s="224">
        <f ca="1">N287+N290</f>
        <v>214070.1</v>
      </c>
      <c r="O284" s="224">
        <f ca="1">IF(L284&gt;0,N284*100/L284,0)</f>
        <v>90.431775937816823</v>
      </c>
      <c r="P284" s="224">
        <f ca="1">IF(M284&gt;0,N284*100/M284,0)</f>
        <v>88.087441362850797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236720</v>
      </c>
      <c r="M285" s="224">
        <f ca="1">M286+M287</f>
        <v>243020</v>
      </c>
      <c r="N285" s="224">
        <f ca="1">N286+N287</f>
        <v>214070.1</v>
      </c>
      <c r="O285" s="224">
        <f ca="1">IF(L285&gt;0,N285*100/L285,0)</f>
        <v>90.431775937816823</v>
      </c>
      <c r="P285" s="224">
        <f ca="1">IF(M285&gt;0,N285*100/M285,0)</f>
        <v>88.087441362850797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IFERROR(__xludf.DUMMYFUNCTION("IMPORTRANGE(""https://docs.google.com/spreadsheets/d/1-uDff_7J0KD5mKrp0Vvzr7lt3OU09vwQwhkpOPPYv2Y/edit?usp=sharing"",""งบพรบ!DO18"")"),236720)</f>
        <v>236720</v>
      </c>
      <c r="M287" s="224">
        <f ca="1">IFERROR(__xludf.DUMMYFUNCTION("IMPORTRANGE(""https://docs.google.com/spreadsheets/d/1-uDff_7J0KD5mKrp0Vvzr7lt3OU09vwQwhkpOPPYv2Y/edit?usp=sharing"",""งบพรบ!DT18"")"),243020)</f>
        <v>243020</v>
      </c>
      <c r="N287" s="224">
        <f ca="1">IFERROR(__xludf.DUMMYFUNCTION("IMPORTRANGE(""https://docs.google.com/spreadsheets/d/1-uDff_7J0KD5mKrp0Vvzr7lt3OU09vwQwhkpOPPYv2Y/edit?usp=sharing"",""งบพรบ!DV18"")"),214070.1)</f>
        <v>214070.1</v>
      </c>
      <c r="O287" s="224">
        <f ca="1">IF(L287&gt;0,N287*100/L287,0)</f>
        <v>90.431775937816823</v>
      </c>
      <c r="P287" s="224">
        <f ca="1">IF(M287&gt;0,N287*100/M287,0)</f>
        <v>88.087441362850797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IFERROR(__xludf.DUMMYFUNCTION("IMPORTRANGE(""https://docs.google.com/spreadsheets/d/1-uDff_7J0KD5mKrp0Vvzr7lt3OU09vwQwhkpOPPYv2Y/edit?usp=sharing"",""งบพรบ!DR18"")"),0)</f>
        <v>0</v>
      </c>
      <c r="M290" s="224">
        <f ca="1">IFERROR(__xludf.DUMMYFUNCTION("IMPORTRANGE(""https://docs.google.com/spreadsheets/d/1-uDff_7J0KD5mKrp0Vvzr7lt3OU09vwQwhkpOPPYv2Y/edit?usp=sharing"",""งบพรบ!DU18"")"),0)</f>
        <v>0</v>
      </c>
      <c r="N290" s="224">
        <f ca="1">IFERROR(__xludf.DUMMYFUNCTION("IMPORTRANGE(""https://docs.google.com/spreadsheets/d/1-uDff_7J0KD5mKrp0Vvzr7lt3OU09vwQwhkpOPPYv2Y/edit?usp=sharing"",""งบพรบ!DW18"")"),0)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IFERROR(__xludf.DUMMYFUNCTION("IMPORTRANGE(""https://docs.google.com/spreadsheets/d/1eHaY18a8A9IcSdp1K8H6x8fbOy06t2VsZHhMHf-1x7Y/edit?usp=sharing"",""แผน!EE18"")"),500)</f>
        <v>500</v>
      </c>
      <c r="J292" s="380">
        <v>500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IFERROR(__xludf.DUMMYFUNCTION("IMPORTRANGE(""https://docs.google.com/spreadsheets/d/1eHaY18a8A9IcSdp1K8H6x8fbOy06t2VsZHhMHf-1x7Y/edit?usp=sharing"",""แผน!ED18"")"),50)</f>
        <v>50</v>
      </c>
      <c r="J293" s="338">
        <f>J296</f>
        <v>50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IFERROR(__xludf.DUMMYFUNCTION("IMPORTRANGE(""https://docs.google.com/spreadsheets/d/1eHaY18a8A9IcSdp1K8H6x8fbOy06t2VsZHhMHf-1x7Y/edit?usp=sharing"",""แผน!ED18"")"),50)</f>
        <v>50</v>
      </c>
      <c r="J295" s="380">
        <v>50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IFERROR(__xludf.DUMMYFUNCTION("IMPORTRANGE(""https://docs.google.com/spreadsheets/d/1eHaY18a8A9IcSdp1K8H6x8fbOy06t2VsZHhMHf-1x7Y/edit?usp=sharing"",""แผน!ED18"")"),50)</f>
        <v>50</v>
      </c>
      <c r="J296" s="380">
        <v>50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IFERROR(__xludf.DUMMYFUNCTION("IMPORTRANGE(""https://docs.google.com/spreadsheets/d/1eHaY18a8A9IcSdp1K8H6x8fbOy06t2VsZHhMHf-1x7Y/edit?usp=sharing"",""แผน!ED18"")"),50)</f>
        <v>50</v>
      </c>
      <c r="J298" s="380">
        <v>50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IFERROR(__xludf.DUMMYFUNCTION("IMPORTRANGE(""https://docs.google.com/spreadsheets/d/1eHaY18a8A9IcSdp1K8H6x8fbOy06t2VsZHhMHf-1x7Y/edit?usp=sharing"",""แผน!ED18"")"),50)</f>
        <v>50</v>
      </c>
      <c r="J299" s="380">
        <v>50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176600</v>
      </c>
      <c r="M303" s="547">
        <f ca="1">M304+M305</f>
        <v>176600</v>
      </c>
      <c r="N303" s="547">
        <f ca="1">N304+N305</f>
        <v>176600</v>
      </c>
      <c r="O303" s="547">
        <f ca="1">IF(L303&gt;0,N303*100/L303,0)</f>
        <v>100</v>
      </c>
      <c r="P303" s="547">
        <f ca="1">IF(M303&gt;0,N303*100/M303,0)</f>
        <v>100</v>
      </c>
      <c r="Q303" s="547">
        <f ca="1">Q304+Q305</f>
        <v>166057.24</v>
      </c>
      <c r="R303" s="547">
        <f ca="1">R304+R305</f>
        <v>170257</v>
      </c>
      <c r="S303" s="547">
        <f ca="1">S304+S305</f>
        <v>5780</v>
      </c>
      <c r="T303" s="547">
        <f ca="1">IF(Q303&gt;0,S303*100/Q303,0)</f>
        <v>3.4807274889068376</v>
      </c>
      <c r="U303" s="547">
        <f ca="1">IF(R303&gt;0,S303*100/R303,0)</f>
        <v>3.3948677587411971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176600</v>
      </c>
      <c r="M305" s="224">
        <f ca="1">M308+M311</f>
        <v>176600</v>
      </c>
      <c r="N305" s="224">
        <f ca="1">N308+N311</f>
        <v>176600</v>
      </c>
      <c r="O305" s="224">
        <f ca="1">IF(L305&gt;0,N305*100/L305,0)</f>
        <v>100</v>
      </c>
      <c r="P305" s="224">
        <f ca="1">IF(M305&gt;0,N305*100/M305,0)</f>
        <v>100</v>
      </c>
      <c r="Q305" s="224">
        <f ca="1">Q308+Q311</f>
        <v>166057.24</v>
      </c>
      <c r="R305" s="224">
        <f ca="1">R308+R311</f>
        <v>170257</v>
      </c>
      <c r="S305" s="224">
        <f ca="1">S308+S311</f>
        <v>5780</v>
      </c>
      <c r="T305" s="224">
        <f ca="1">IF(Q305&gt;0,S305*100/Q305,0)</f>
        <v>3.4807274889068376</v>
      </c>
      <c r="U305" s="224">
        <f ca="1">IF(R305&gt;0,S305*100/R305,0)</f>
        <v>3.3948677587411971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176600</v>
      </c>
      <c r="M306" s="224">
        <f ca="1">M307+M308</f>
        <v>176600</v>
      </c>
      <c r="N306" s="224">
        <f ca="1">N307+N308</f>
        <v>176600</v>
      </c>
      <c r="O306" s="224">
        <f ca="1">IF(L306&gt;0,N306*100/L306,0)</f>
        <v>100</v>
      </c>
      <c r="P306" s="224">
        <f ca="1">IF(M306&gt;0,N306*100/M306,0)</f>
        <v>100</v>
      </c>
      <c r="Q306" s="224">
        <f ca="1">Q307+Q308</f>
        <v>166057.24</v>
      </c>
      <c r="R306" s="224">
        <f ca="1">R307+R308</f>
        <v>170257</v>
      </c>
      <c r="S306" s="224">
        <f ca="1">S307+S308</f>
        <v>5780</v>
      </c>
      <c r="T306" s="224">
        <f ca="1">IF(Q306&gt;0,S306*100/Q306,0)</f>
        <v>3.4807274889068376</v>
      </c>
      <c r="U306" s="224">
        <f ca="1">IF(R306&gt;0,S306*100/R306,0)</f>
        <v>3.3948677587411971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IFERROR(__xludf.DUMMYFUNCTION("IMPORTRANGE(""https://docs.google.com/spreadsheets/d/1-uDff_7J0KD5mKrp0Vvzr7lt3OU09vwQwhkpOPPYv2Y/edit?usp=sharing"",""งบพรบ!DY18"")"),176600)</f>
        <v>176600</v>
      </c>
      <c r="M308" s="224">
        <f ca="1">IFERROR(__xludf.DUMMYFUNCTION("IMPORTRANGE(""https://docs.google.com/spreadsheets/d/1-uDff_7J0KD5mKrp0Vvzr7lt3OU09vwQwhkpOPPYv2Y/edit?usp=sharing"",""งบพรบ!ED18"")"),176600)</f>
        <v>176600</v>
      </c>
      <c r="N308" s="224">
        <f ca="1">IFERROR(__xludf.DUMMYFUNCTION("IMPORTRANGE(""https://docs.google.com/spreadsheets/d/1-uDff_7J0KD5mKrp0Vvzr7lt3OU09vwQwhkpOPPYv2Y/edit?usp=sharing"",""งบพรบ!EF18"")"),176600)</f>
        <v>176600</v>
      </c>
      <c r="O308" s="224">
        <f ca="1">IF(L308&gt;0,N308*100/L308,0)</f>
        <v>100</v>
      </c>
      <c r="P308" s="224">
        <f ca="1">IF(M308&gt;0,N308*100/M308,0)</f>
        <v>100</v>
      </c>
      <c r="Q308" s="224">
        <f ca="1">IFERROR(__xludf.DUMMYFUNCTION("IMPORTRANGE(""https://docs.google.com/spreadsheets/d/1ItG2mGa2ceCfYo0BwxsXqNm01IGEUdYcSSLTEv9YCik/edit?usp=sharing"",""เบิกจ่ายกองทุน!BB18"")"),166057.24)</f>
        <v>166057.24</v>
      </c>
      <c r="R308" s="224">
        <f ca="1">IFERROR(__xludf.DUMMYFUNCTION("IMPORTRANGE(""https://docs.google.com/spreadsheets/d/1ItG2mGa2ceCfYo0BwxsXqNm01IGEUdYcSSLTEv9YCik/edit?usp=sharing"",""เบิกจ่ายกองทุน!BC18"")"),170257)</f>
        <v>170257</v>
      </c>
      <c r="S308" s="224">
        <f ca="1">IFERROR(__xludf.DUMMYFUNCTION("IMPORTRANGE(""https://docs.google.com/spreadsheets/d/1ItG2mGa2ceCfYo0BwxsXqNm01IGEUdYcSSLTEv9YCik/edit?usp=sharing"",""เบิกจ่ายกองทุน!BD18"")"),5780)</f>
        <v>5780</v>
      </c>
      <c r="T308" s="224">
        <f ca="1">IF(Q308&gt;0,S308*100/Q308,0)</f>
        <v>3.4807274889068376</v>
      </c>
      <c r="U308" s="224">
        <f ca="1">IF(R308&gt;0,S308*100/R308,0)</f>
        <v>3.3948677587411971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IFERROR(__xludf.DUMMYFUNCTION("IMPORTRANGE(""https://docs.google.com/spreadsheets/d/1-uDff_7J0KD5mKrp0Vvzr7lt3OU09vwQwhkpOPPYv2Y/edit?usp=sharing"",""งบพรบ!EB18"")"),0)</f>
        <v>0</v>
      </c>
      <c r="M311" s="224">
        <f ca="1">IFERROR(__xludf.DUMMYFUNCTION("IMPORTRANGE(""https://docs.google.com/spreadsheets/d/1-uDff_7J0KD5mKrp0Vvzr7lt3OU09vwQwhkpOPPYv2Y/edit?usp=sharing"",""งบพรบ!EE18"")"),0)</f>
        <v>0</v>
      </c>
      <c r="N311" s="224">
        <f ca="1">IFERROR(__xludf.DUMMYFUNCTION("IMPORTRANGE(""https://docs.google.com/spreadsheets/d/1-uDff_7J0KD5mKrp0Vvzr7lt3OU09vwQwhkpOPPYv2Y/edit?usp=sharing"",""งบพรบ!EG18"")"),0)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IFERROR(__xludf.DUMMYFUNCTION("IMPORTRANGE(""https://docs.google.com/spreadsheets/d/1eHaY18a8A9IcSdp1K8H6x8fbOy06t2VsZHhMHf-1x7Y/edit?usp=sharing"",""แผน!EF18"")"),25)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IFERROR(__xludf.DUMMYFUNCTION("IMPORTRANGE(""https://docs.google.com/spreadsheets/d/1-uDff_7J0KD5mKrp0Vvzr7lt3OU09vwQwhkpOPPYv2Y/edit?usp=sharing"",""งบพรบ!EI18"")"),0)</f>
        <v>0</v>
      </c>
      <c r="M325" s="224">
        <f ca="1">IFERROR(__xludf.DUMMYFUNCTION("IMPORTRANGE(""https://docs.google.com/spreadsheets/d/1-uDff_7J0KD5mKrp0Vvzr7lt3OU09vwQwhkpOPPYv2Y/edit?usp=sharing"",""งบพรบ!EN18"")"),0)</f>
        <v>0</v>
      </c>
      <c r="N325" s="224">
        <f ca="1">IFERROR(__xludf.DUMMYFUNCTION("IMPORTRANGE(""https://docs.google.com/spreadsheets/d/1-uDff_7J0KD5mKrp0Vvzr7lt3OU09vwQwhkpOPPYv2Y/edit?usp=sharing"",""งบพรบ!EP18"")"),0)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IFERROR(__xludf.DUMMYFUNCTION("IMPORTRANGE(""https://docs.google.com/spreadsheets/d/1-uDff_7J0KD5mKrp0Vvzr7lt3OU09vwQwhkpOPPYv2Y/edit?usp=sharing"",""งบพรบ!EL18"")"),0)</f>
        <v>0</v>
      </c>
      <c r="M328" s="224">
        <f ca="1">IFERROR(__xludf.DUMMYFUNCTION("IMPORTRANGE(""https://docs.google.com/spreadsheets/d/1-uDff_7J0KD5mKrp0Vvzr7lt3OU09vwQwhkpOPPYv2Y/edit?usp=sharing"",""งบพรบ!EO18"")"),0)</f>
        <v>0</v>
      </c>
      <c r="N328" s="224">
        <f ca="1">IFERROR(__xludf.DUMMYFUNCTION("IMPORTRANGE(""https://docs.google.com/spreadsheets/d/1-uDff_7J0KD5mKrp0Vvzr7lt3OU09vwQwhkpOPPYv2Y/edit?usp=sharing"",""งบพรบ!EQ18"")"),0)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IFERROR(__xludf.DUMMYFUNCTION("IMPORTRANGE(""https://docs.google.com/spreadsheets/d/1eHaY18a8A9IcSdp1K8H6x8fbOy06t2VsZHhMHf-1x7Y/edit?usp=sharing"",""แผน!EJ18"")"),0)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IFERROR(__xludf.DUMMYFUNCTION("IMPORTRANGE(""https://docs.google.com/spreadsheets/d/1eHaY18a8A9IcSdp1K8H6x8fbOy06t2VsZHhMHf-1x7Y/edit?usp=sharing"",""แผน!EK18"")"),3500)</f>
        <v>3500</v>
      </c>
      <c r="J332" s="300">
        <f ca="1">J344+J347+J348+J349+J353+J354</f>
        <v>7250</v>
      </c>
      <c r="K332" s="679">
        <f ca="1">IF(I332&gt;0,J332*100/I332,0)</f>
        <v>207.14285714285714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192000</v>
      </c>
      <c r="M333" s="547">
        <f ca="1">M334+M335</f>
        <v>192000</v>
      </c>
      <c r="N333" s="547">
        <f ca="1">N334+N335</f>
        <v>152050</v>
      </c>
      <c r="O333" s="547">
        <f ca="1">IF(L333&gt;0,N333*100/L333,0)</f>
        <v>79.192708333333329</v>
      </c>
      <c r="P333" s="547">
        <f ca="1">IF(M333&gt;0,N333*100/M333,0)</f>
        <v>79.192708333333329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192000</v>
      </c>
      <c r="M335" s="224">
        <f ca="1">M338+M341</f>
        <v>192000</v>
      </c>
      <c r="N335" s="224">
        <f ca="1">N338+N341</f>
        <v>152050</v>
      </c>
      <c r="O335" s="224">
        <f ca="1">IF(L335&gt;0,N335*100/L335,0)</f>
        <v>79.192708333333329</v>
      </c>
      <c r="P335" s="224">
        <f ca="1">IF(M335&gt;0,N335*100/M335,0)</f>
        <v>79.192708333333329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192000</v>
      </c>
      <c r="M336" s="224">
        <f ca="1">M337+M338</f>
        <v>192000</v>
      </c>
      <c r="N336" s="224">
        <f ca="1">N337+N338</f>
        <v>152050</v>
      </c>
      <c r="O336" s="224">
        <f ca="1">IF(L336&gt;0,N336*100/L336,0)</f>
        <v>79.192708333333329</v>
      </c>
      <c r="P336" s="224">
        <f ca="1">IF(M336&gt;0,N336*100/M336,0)</f>
        <v>79.192708333333329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IFERROR(__xludf.DUMMYFUNCTION("IMPORTRANGE(""https://docs.google.com/spreadsheets/d/1-uDff_7J0KD5mKrp0Vvzr7lt3OU09vwQwhkpOPPYv2Y/edit?usp=sharing"",""งบพรบ!ES18"")"),192000)</f>
        <v>192000</v>
      </c>
      <c r="M338" s="224">
        <f ca="1">IFERROR(__xludf.DUMMYFUNCTION("IMPORTRANGE(""https://docs.google.com/spreadsheets/d/1-uDff_7J0KD5mKrp0Vvzr7lt3OU09vwQwhkpOPPYv2Y/edit?usp=sharing"",""งบพรบ!EX18"")"),192000)</f>
        <v>192000</v>
      </c>
      <c r="N338" s="224">
        <f ca="1">IFERROR(__xludf.DUMMYFUNCTION("IMPORTRANGE(""https://docs.google.com/spreadsheets/d/1-uDff_7J0KD5mKrp0Vvzr7lt3OU09vwQwhkpOPPYv2Y/edit?usp=sharing"",""งบพรบ!EZ18"")"),152050)</f>
        <v>152050</v>
      </c>
      <c r="O338" s="224">
        <f ca="1">IF(L338&gt;0,N338*100/L338,0)</f>
        <v>79.192708333333329</v>
      </c>
      <c r="P338" s="224">
        <f ca="1">IF(M338&gt;0,N338*100/M338,0)</f>
        <v>79.192708333333329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IFERROR(__xludf.DUMMYFUNCTION("IMPORTRANGE(""https://docs.google.com/spreadsheets/d/1-uDff_7J0KD5mKrp0Vvzr7lt3OU09vwQwhkpOPPYv2Y/edit?usp=sharing"",""งบพรบ!EV18"")"),0)</f>
        <v>0</v>
      </c>
      <c r="M341" s="224">
        <f ca="1">IFERROR(__xludf.DUMMYFUNCTION("IMPORTRANGE(""https://docs.google.com/spreadsheets/d/1-uDff_7J0KD5mKrp0Vvzr7lt3OU09vwQwhkpOPPYv2Y/edit?usp=sharing"",""งบพรบ!EY18"")"),0)</f>
        <v>0</v>
      </c>
      <c r="N341" s="224">
        <f ca="1">IFERROR(__xludf.DUMMYFUNCTION("IMPORTRANGE(""https://docs.google.com/spreadsheets/d/1-uDff_7J0KD5mKrp0Vvzr7lt3OU09vwQwhkpOPPYv2Y/edit?usp=sharing"",""งบพรบ!FA18"")"),0)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2942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IFERROR(__xludf.DUMMYFUNCTION("IMPORTRANGE(""https://docs.google.com/spreadsheets/d/1awYsYK3VOup2i3Pq_Yjnu8DRu_mYwSBnCR2QPthd0rU/edit?usp=sharing"",""ศูนย์ยกเว้นโฉนด!D18"")"),2742)</f>
        <v>2742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IFERROR(__xludf.DUMMYFUNCTION("IMPORTRANGE(""https://docs.google.com/spreadsheets/d/1eHaY18a8A9IcSdp1K8H6x8fbOy06t2VsZHhMHf-1x7Y/edit?usp=sharing"",""แผน!EL18"")"),7)</f>
        <v>7</v>
      </c>
      <c r="J346" s="184">
        <f ca="1">IFERROR(__xludf.DUMMYFUNCTION("IMPORTRANGE(""https://docs.google.com/spreadsheets/d/1awYsYK3VOup2i3Pq_Yjnu8DRu_mYwSBnCR2QPthd0rU/edit?usp=sharing"",""ศูนย์รวม!E18"")"),7)</f>
        <v>7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IFERROR(__xludf.DUMMYFUNCTION("IMPORTRANGE(""https://docs.google.com/spreadsheets/d/1awYsYK3VOup2i3Pq_Yjnu8DRu_mYwSBnCR2QPthd0rU/edit?usp=sharing"",""ศูนย์ยกเว้นโฉนด!F18"")"),199)</f>
        <v>199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IFERROR(__xludf.DUMMYFUNCTION("IMPORTRANGE(""https://docs.google.com/spreadsheets/d/1awYsYK3VOup2i3Pq_Yjnu8DRu_mYwSBnCR2QPthd0rU/edit?usp=sharing"",""ศูนย์ยกเว้นโฉนด!G18"")"),1)</f>
        <v>1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IFERROR(__xludf.DUMMYFUNCTION("IMPORTRANGE(""https://docs.google.com/spreadsheets/d/1awYsYK3VOup2i3Pq_Yjnu8DRu_mYwSBnCR2QPthd0rU/edit?usp=sharing"",""ศูนย์ยกเว้นโฉนด!H18"")"),0)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4308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IFERROR(__xludf.DUMMYFUNCTION("IMPORTRANGE(""https://docs.google.com/spreadsheets/d/1awYsYK3VOup2i3Pq_Yjnu8DRu_mYwSBnCR2QPthd0rU/edit?usp=sharing"",""โฉนดM3!G18"")"),2385)</f>
        <v>2385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IFERROR(__xludf.DUMMYFUNCTION("IMPORTRANGE(""https://docs.google.com/spreadsheets/d/1awYsYK3VOup2i3Pq_Yjnu8DRu_mYwSBnCR2QPthd0rU/edit?usp=sharing"",""โฉนดM3!H18"")"),3507)</f>
        <v>3507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IFERROR(__xludf.DUMMYFUNCTION("IMPORTRANGE(""https://docs.google.com/spreadsheets/d/1awYsYK3VOup2i3Pq_Yjnu8DRu_mYwSBnCR2QPthd0rU/edit?usp=sharing"",""โฉนดM3!I18"")"),801)</f>
        <v>801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736490</v>
      </c>
      <c r="M356" s="547">
        <f ca="1">M357+M358</f>
        <v>863430</v>
      </c>
      <c r="N356" s="547">
        <f ca="1">N357+N358</f>
        <v>690353</v>
      </c>
      <c r="O356" s="547">
        <f ca="1">IF(L356&gt;0,N356*100/L356,0)</f>
        <v>93.735556490923159</v>
      </c>
      <c r="P356" s="547">
        <f ca="1">IF(M356&gt;0,N356*100/M356,0)</f>
        <v>79.954715495176217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736490</v>
      </c>
      <c r="M358" s="224">
        <f ca="1">M361+M364</f>
        <v>863430</v>
      </c>
      <c r="N358" s="224">
        <f ca="1">N361+N364</f>
        <v>690353</v>
      </c>
      <c r="O358" s="224">
        <f ca="1">IF(L358&gt;0,N358*100/L358,0)</f>
        <v>93.735556490923159</v>
      </c>
      <c r="P358" s="224">
        <f ca="1">IF(M358&gt;0,N358*100/M358,0)</f>
        <v>79.954715495176217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736490</v>
      </c>
      <c r="M359" s="224">
        <f ca="1">M360+M361</f>
        <v>863430</v>
      </c>
      <c r="N359" s="224">
        <f ca="1">N360+N361</f>
        <v>690353</v>
      </c>
      <c r="O359" s="224">
        <f ca="1">IF(L359&gt;0,N359*100/L359,0)</f>
        <v>93.735556490923159</v>
      </c>
      <c r="P359" s="224">
        <f ca="1">IF(M359&gt;0,N359*100/M359,0)</f>
        <v>79.954715495176217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IFERROR(__xludf.DUMMYFUNCTION("IMPORTRANGE(""https://docs.google.com/spreadsheets/d/1-uDff_7J0KD5mKrp0Vvzr7lt3OU09vwQwhkpOPPYv2Y/edit?usp=sharing"",""งบพรบ!FC18"")"),736490)</f>
        <v>736490</v>
      </c>
      <c r="M361" s="224">
        <f ca="1">IFERROR(__xludf.DUMMYFUNCTION("IMPORTRANGE(""https://docs.google.com/spreadsheets/d/1-uDff_7J0KD5mKrp0Vvzr7lt3OU09vwQwhkpOPPYv2Y/edit?usp=sharing"",""งบพรบ!FH18"")"),863430)</f>
        <v>863430</v>
      </c>
      <c r="N361" s="224">
        <f ca="1">IFERROR(__xludf.DUMMYFUNCTION("IMPORTRANGE(""https://docs.google.com/spreadsheets/d/1-uDff_7J0KD5mKrp0Vvzr7lt3OU09vwQwhkpOPPYv2Y/edit?usp=sharing"",""งบพรบ!FJ18"")"),690353)</f>
        <v>690353</v>
      </c>
      <c r="O361" s="224">
        <f ca="1">IF(L361&gt;0,N361*100/L361,0)</f>
        <v>93.735556490923159</v>
      </c>
      <c r="P361" s="224">
        <f ca="1">IF(M361&gt;0,N361*100/M361,0)</f>
        <v>79.954715495176217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IFERROR(__xludf.DUMMYFUNCTION("IMPORTRANGE(""https://docs.google.com/spreadsheets/d/1-uDff_7J0KD5mKrp0Vvzr7lt3OU09vwQwhkpOPPYv2Y/edit?usp=sharing"",""งบพรบ!FF18"")"),0)</f>
        <v>0</v>
      </c>
      <c r="M364" s="224">
        <f ca="1">IFERROR(__xludf.DUMMYFUNCTION("IMPORTRANGE(""https://docs.google.com/spreadsheets/d/1-uDff_7J0KD5mKrp0Vvzr7lt3OU09vwQwhkpOPPYv2Y/edit?usp=sharing"",""งบพรบ!FI18"")"),0)</f>
        <v>0</v>
      </c>
      <c r="N364" s="224">
        <f ca="1">IFERROR(__xludf.DUMMYFUNCTION("IMPORTRANGE(""https://docs.google.com/spreadsheets/d/1-uDff_7J0KD5mKrp0Vvzr7lt3OU09vwQwhkpOPPYv2Y/edit?usp=sharing"",""งบพรบ!FK18"")"),0)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272</v>
      </c>
      <c r="J365" s="302">
        <f ca="1">J371</f>
        <v>311</v>
      </c>
      <c r="K365" s="303">
        <f ca="1">IF(I365&gt;0,J365*100/I365,0)</f>
        <v>114.33823529411765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IFERROR(__xludf.DUMMYFUNCTION("IMPORTRANGE(""https://docs.google.com/spreadsheets/d/1tdoBKaGub7dwA3U6UFTqxio9LNnvDCQjHKmttSEBsFQ/edit?usp=sharing"",""จัดที่ดิน!AB18"")"),187)</f>
        <v>187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IFERROR(__xludf.DUMMYFUNCTION("IMPORTRANGE(""https://docs.google.com/spreadsheets/d/1eHaY18a8A9IcSdp1K8H6x8fbOy06t2VsZHhMHf-1x7Y/edit?usp=sharing"",""แผน!EW18"")"),2325)</f>
        <v>2325</v>
      </c>
      <c r="J368" s="668">
        <f ca="1">IFERROR(__xludf.DUMMYFUNCTION("IMPORTRANGE(""https://docs.google.com/spreadsheets/d/1tdoBKaGub7dwA3U6UFTqxio9LNnvDCQjHKmttSEBsFQ/edit?usp=sharing"",""จัดที่ดิน!AC18"")"),2393.17)</f>
        <v>2393.17</v>
      </c>
      <c r="K368" s="224">
        <f ca="1">IF(I368&gt;0,J368*100/I368,0)</f>
        <v>102.93204301075269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IFERROR(__xludf.DUMMYFUNCTION("IMPORTRANGE(""https://docs.google.com/spreadsheets/d/1eHaY18a8A9IcSdp1K8H6x8fbOy06t2VsZHhMHf-1x7Y/edit?usp=sharing"",""แผน!EX18"")"),272)</f>
        <v>272</v>
      </c>
      <c r="J369" s="184">
        <f ca="1">IFERROR(__xludf.DUMMYFUNCTION("IMPORTRANGE(""https://docs.google.com/spreadsheets/d/1tdoBKaGub7dwA3U6UFTqxio9LNnvDCQjHKmttSEBsFQ/edit?usp=sharing"",""จัดที่ดิน!AD18"")"),366)</f>
        <v>366</v>
      </c>
      <c r="K369" s="224">
        <f ca="1">IF(I369&gt;0,J369*100/I369,0)</f>
        <v>134.55882352941177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IFERROR(__xludf.DUMMYFUNCTION("IMPORTRANGE(""https://docs.google.com/spreadsheets/d/1tdoBKaGub7dwA3U6UFTqxio9LNnvDCQjHKmttSEBsFQ/edit?usp=sharing"",""จัดที่ดิน!AE18"")"),6166.16)</f>
        <v>6166.16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IFERROR(__xludf.DUMMYFUNCTION("IMPORTRANGE(""https://docs.google.com/spreadsheets/d/1eHaY18a8A9IcSdp1K8H6x8fbOy06t2VsZHhMHf-1x7Y/edit?usp=sharing"",""แผน!EY18"")"),272)</f>
        <v>272</v>
      </c>
      <c r="J371" s="184">
        <f ca="1">IFERROR(__xludf.DUMMYFUNCTION("IMPORTRANGE(""https://docs.google.com/spreadsheets/d/1tdoBKaGub7dwA3U6UFTqxio9LNnvDCQjHKmttSEBsFQ/edit?usp=sharing"",""จัดที่ดิน!AF18"")"),311)</f>
        <v>311</v>
      </c>
      <c r="K371" s="224">
        <f ca="1">IF(I371&gt;0,J371*100/I371,0)</f>
        <v>114.33823529411765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IFERROR(__xludf.DUMMYFUNCTION("IMPORTRANGE(""https://docs.google.com/spreadsheets/d/1tdoBKaGub7dwA3U6UFTqxio9LNnvDCQjHKmttSEBsFQ/edit?usp=sharing"",""จัดที่ดิน!AG18"")"),5255.57)</f>
        <v>5255.57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835">
        <f ca="1">I386+I388</f>
        <v>2000</v>
      </c>
      <c r="J374" s="660">
        <f ca="1">J386+J388</f>
        <v>1358</v>
      </c>
      <c r="K374" s="659">
        <f ca="1">IF(I374&gt;0,J374*100/I374,0)</f>
        <v>67.900000000000006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83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49510</v>
      </c>
      <c r="T375" s="547">
        <f ca="1">IF(Q375&gt;0,S375*100/Q375,0)</f>
        <v>39.607999999999997</v>
      </c>
      <c r="U375" s="547">
        <f ca="1">IF(R375&gt;0,S375*100/R375,0)</f>
        <v>39.607999999999997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83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83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49510</v>
      </c>
      <c r="T377" s="224">
        <f ca="1">IF(Q377&gt;0,S377*100/Q377,0)</f>
        <v>39.607999999999997</v>
      </c>
      <c r="U377" s="224">
        <f ca="1">IF(R377&gt;0,S377*100/R377,0)</f>
        <v>39.607999999999997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833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49510</v>
      </c>
      <c r="T378" s="224">
        <f ca="1">IF(Q378&gt;0,S378*100/Q378,0)</f>
        <v>39.607999999999997</v>
      </c>
      <c r="U378" s="224">
        <f ca="1">IF(R378&gt;0,S378*100/R378,0)</f>
        <v>39.607999999999997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833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833"/>
      <c r="J380" s="135"/>
      <c r="K380" s="136"/>
      <c r="L380" s="545">
        <f ca="1">IFERROR(__xludf.DUMMYFUNCTION("IMPORTRANGE(""https://docs.google.com/spreadsheets/d/1-uDff_7J0KD5mKrp0Vvzr7lt3OU09vwQwhkpOPPYv2Y/edit?usp=sharing"",""งบพรบ!IE18"")"),0)</f>
        <v>0</v>
      </c>
      <c r="M380" s="224">
        <f ca="1">IFERROR(__xludf.DUMMYFUNCTION("IMPORTRANGE(""https://docs.google.com/spreadsheets/d/1-uDff_7J0KD5mKrp0Vvzr7lt3OU09vwQwhkpOPPYv2Y/edit?usp=sharing"",""งบพรบ!IJ18"")"),0)</f>
        <v>0</v>
      </c>
      <c r="N380" s="224">
        <f ca="1">IFERROR(__xludf.DUMMYFUNCTION("IMPORTRANGE(""https://docs.google.com/spreadsheets/d/1-uDff_7J0KD5mKrp0Vvzr7lt3OU09vwQwhkpOPPYv2Y/edit?usp=sharing"",""งบพรบ!IL18"")"),0)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IFERROR(__xludf.DUMMYFUNCTION("IMPORTRANGE(""https://docs.google.com/spreadsheets/d/1ItG2mGa2ceCfYo0BwxsXqNm01IGEUdYcSSLTEv9YCik/edit?usp=sharing"",""เบิกจ่ายกองทุน!BX18"")"),125000)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IFERROR(__xludf.DUMMYFUNCTION("IMPORTRANGE(""https://docs.google.com/spreadsheets/d/1ItG2mGa2ceCfYo0BwxsXqNm01IGEUdYcSSLTEv9YCik/edit?usp=sharing"",""เบิกจ่ายกองทุน!BY18"")"),49510)</f>
        <v>49510</v>
      </c>
      <c r="T380" s="224">
        <f ca="1">IF(Q380&gt;0,S380*100/Q380,0)</f>
        <v>39.607999999999997</v>
      </c>
      <c r="U380" s="224">
        <f ca="1">IF(R380&gt;0,S380*100/R380,0)</f>
        <v>39.607999999999997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833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833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833"/>
      <c r="J383" s="135"/>
      <c r="K383" s="136"/>
      <c r="L383" s="545">
        <f ca="1">IFERROR(__xludf.DUMMYFUNCTION("IMPORTRANGE(""https://docs.google.com/spreadsheets/d/1-uDff_7J0KD5mKrp0Vvzr7lt3OU09vwQwhkpOPPYv2Y/edit?usp=sharing"",""งบพรบ!IH18"")"),0)</f>
        <v>0</v>
      </c>
      <c r="M383" s="224">
        <f ca="1">IFERROR(__xludf.DUMMYFUNCTION("IMPORTRANGE(""https://docs.google.com/spreadsheets/d/1-uDff_7J0KD5mKrp0Vvzr7lt3OU09vwQwhkpOPPYv2Y/edit?usp=sharing"",""งบพรบ!IK18"")"),0)</f>
        <v>0</v>
      </c>
      <c r="N383" s="224">
        <f ca="1">IFERROR(__xludf.DUMMYFUNCTION("IMPORTRANGE(""https://docs.google.com/spreadsheets/d/1-uDff_7J0KD5mKrp0Vvzr7lt3OU09vwQwhkpOPPYv2Y/edit?usp=sharing"",""งบพรบ!IM18"")"),0)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833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646">
        <v>0</v>
      </c>
      <c r="J385" s="184">
        <f ca="1">IFERROR(__xludf.DUMMYFUNCTION("IMPORTRANGE(""https://docs.google.com/spreadsheets/d/1w5rwWK1o49a35cNtocGL0gxDwhFSTZUQu90BiH9_zqM/edit?usp=sharing"",""RTK!H18"")"),86)</f>
        <v>86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646">
        <f ca="1">IFERROR(__xludf.DUMMYFUNCTION("IMPORTRANGE(""https://docs.google.com/spreadsheets/d/1w5rwWK1o49a35cNtocGL0gxDwhFSTZUQu90BiH9_zqM/edit?usp=sharing"",""RTK!G18"")"),2000)</f>
        <v>2000</v>
      </c>
      <c r="J386" s="184">
        <f ca="1">IFERROR(__xludf.DUMMYFUNCTION("IMPORTRANGE(""https://docs.google.com/spreadsheets/d/1w5rwWK1o49a35cNtocGL0gxDwhFSTZUQu90BiH9_zqM/edit?usp=sharing"",""RTK!I18"")"),1358)</f>
        <v>1358</v>
      </c>
      <c r="K386" s="224">
        <f ca="1">IF(I386&gt;0,J386*100/I386,0)</f>
        <v>67.900000000000006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832">
        <v>0</v>
      </c>
      <c r="J387" s="559">
        <f ca="1">IFERROR(__xludf.DUMMYFUNCTION("IMPORTRANGE(""https://docs.google.com/spreadsheets/d/1w5rwWK1o49a35cNtocGL0gxDwhFSTZUQu90BiH9_zqM/edit?usp=sharing"",""RTK!L18"")"),0)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832">
        <f ca="1">IFERROR(__xludf.DUMMYFUNCTION("IMPORTRANGE(""https://docs.google.com/spreadsheets/d/1w5rwWK1o49a35cNtocGL0gxDwhFSTZUQu90BiH9_zqM/edit?usp=sharing"",""RTK!K18"")"),0)</f>
        <v>0</v>
      </c>
      <c r="J388" s="559">
        <f ca="1">IFERROR(__xludf.DUMMYFUNCTION("IMPORTRANGE(""https://docs.google.com/spreadsheets/d/1w5rwWK1o49a35cNtocGL0gxDwhFSTZUQu90BiH9_zqM/edit?usp=sharing"",""RTK!M18"")"),0)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831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830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IFERROR(__xludf.DUMMYFUNCTION("IMPORTRANGE(""https://docs.google.com/spreadsheets/d/1ItG2mGa2ceCfYo0BwxsXqNm01IGEUdYcSSLTEv9YCik/edit?usp=sharing"",""เบิกจ่ายกองทุน!CL18"")"),0)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IFERROR(__xludf.DUMMYFUNCTION("IMPORTRANGE(""https://docs.google.com/spreadsheets/d/1ItG2mGa2ceCfYo0BwxsXqNm01IGEUdYcSSLTEv9YCik/edit?usp=sharing"",""เบิกจ่ายกองทุน!CM18"")"),0)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IFERROR(__xludf.DUMMYFUNCTION("IMPORTRANGE(""https://docs.google.com/spreadsheets/d/1ItG2mGa2ceCfYo0BwxsXqNm01IGEUdYcSSLTEv9YCik/edit?usp=sharing"",""เบิกจ่ายกองทุน!CN18"")"),0)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70983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562280</v>
      </c>
      <c r="M413" s="547">
        <f ca="1">M414+M415</f>
        <v>562280</v>
      </c>
      <c r="N413" s="547">
        <f ca="1">N414+N415</f>
        <v>244407.91</v>
      </c>
      <c r="O413" s="547">
        <f ca="1">IF(L413&gt;0,N413*100/L413,0)</f>
        <v>43.467295653411114</v>
      </c>
      <c r="P413" s="547">
        <f ca="1">IF(M413&gt;0,N413*100/M413,0)</f>
        <v>43.467295653411114</v>
      </c>
      <c r="Q413" s="547">
        <f ca="1">Q414+Q415</f>
        <v>130430</v>
      </c>
      <c r="R413" s="547">
        <f ca="1">R414+R415</f>
        <v>130430</v>
      </c>
      <c r="S413" s="547">
        <f ca="1">S414+S415</f>
        <v>127790</v>
      </c>
      <c r="T413" s="547">
        <f ca="1">IF(Q413&gt;0,S413*100/Q413,0)</f>
        <v>97.975925783945414</v>
      </c>
      <c r="U413" s="547">
        <f ca="1">IF(R413&gt;0,S413*100/R413,0)</f>
        <v>97.975925783945414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562280</v>
      </c>
      <c r="M415" s="224">
        <f ca="1">M418+M421</f>
        <v>562280</v>
      </c>
      <c r="N415" s="224">
        <f ca="1">N418+N421</f>
        <v>244407.91</v>
      </c>
      <c r="O415" s="224">
        <f ca="1">IF(L415&gt;0,N415*100/L415,0)</f>
        <v>43.467295653411114</v>
      </c>
      <c r="P415" s="224">
        <f ca="1">IF(M415&gt;0,N415*100/M415,0)</f>
        <v>43.467295653411114</v>
      </c>
      <c r="Q415" s="224">
        <f ca="1">Q418+Q421</f>
        <v>130430</v>
      </c>
      <c r="R415" s="224">
        <f ca="1">R418+R421</f>
        <v>130430</v>
      </c>
      <c r="S415" s="224">
        <f ca="1">S418+S421</f>
        <v>127790</v>
      </c>
      <c r="T415" s="224">
        <f ca="1">IF(Q415&gt;0,S415*100/Q415,0)</f>
        <v>97.975925783945414</v>
      </c>
      <c r="U415" s="224">
        <f ca="1">IF(R415&gt;0,S415*100/R415,0)</f>
        <v>97.975925783945414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562280</v>
      </c>
      <c r="M416" s="224">
        <f ca="1">M417+M418</f>
        <v>562280</v>
      </c>
      <c r="N416" s="224">
        <f ca="1">N417+N418</f>
        <v>244407.91</v>
      </c>
      <c r="O416" s="224">
        <f ca="1">IF(L416&gt;0,N416*100/L416,0)</f>
        <v>43.467295653411114</v>
      </c>
      <c r="P416" s="224">
        <f ca="1">IF(M416&gt;0,N416*100/M416,0)</f>
        <v>43.467295653411114</v>
      </c>
      <c r="Q416" s="224">
        <f ca="1">Q417+Q418</f>
        <v>130430</v>
      </c>
      <c r="R416" s="224">
        <f ca="1">R417+R418</f>
        <v>130430</v>
      </c>
      <c r="S416" s="224">
        <f ca="1">S417+S418</f>
        <v>127790</v>
      </c>
      <c r="T416" s="224">
        <f ca="1">IF(Q416&gt;0,S416*100/Q416,0)</f>
        <v>97.975925783945414</v>
      </c>
      <c r="U416" s="224">
        <f ca="1">IF(R416&gt;0,S416*100/R416,0)</f>
        <v>97.975925783945414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IFERROR(__xludf.DUMMYFUNCTION("IMPORTRANGE(""https://docs.google.com/spreadsheets/d/1-uDff_7J0KD5mKrp0Vvzr7lt3OU09vwQwhkpOPPYv2Y/edit?usp=sharing"",""งบพรบ!IO18"")"),562280)</f>
        <v>562280</v>
      </c>
      <c r="M418" s="224">
        <f ca="1">IFERROR(__xludf.DUMMYFUNCTION("IMPORTRANGE(""https://docs.google.com/spreadsheets/d/1-uDff_7J0KD5mKrp0Vvzr7lt3OU09vwQwhkpOPPYv2Y/edit?usp=sharing"",""งบพรบ!IT18"")"),562280)</f>
        <v>562280</v>
      </c>
      <c r="N418" s="224">
        <f ca="1">IFERROR(__xludf.DUMMYFUNCTION("IMPORTRANGE(""https://docs.google.com/spreadsheets/d/1-uDff_7J0KD5mKrp0Vvzr7lt3OU09vwQwhkpOPPYv2Y/edit?usp=sharing"",""งบพรบ!IV18"")"),244407.91)</f>
        <v>244407.91</v>
      </c>
      <c r="O418" s="224">
        <f ca="1">IF(L418&gt;0,N418*100/L418,0)</f>
        <v>43.467295653411114</v>
      </c>
      <c r="P418" s="224">
        <f ca="1">IF(M418&gt;0,N418*100/M418,0)</f>
        <v>43.467295653411114</v>
      </c>
      <c r="Q418" s="224">
        <f ca="1">IFERROR(__xludf.DUMMYFUNCTION("IMPORTRANGE(""https://docs.google.com/spreadsheets/d/1ItG2mGa2ceCfYo0BwxsXqNm01IGEUdYcSSLTEv9YCik/edit?usp=sharing"",""เบิกจ่ายกองทุน!BZ18"")"),130430)</f>
        <v>130430</v>
      </c>
      <c r="R418" s="224">
        <f ca="1">IFERROR(__xludf.DUMMYFUNCTION("IMPORTRANGE(""https://docs.google.com/spreadsheets/d/1ItG2mGa2ceCfYo0BwxsXqNm01IGEUdYcSSLTEv9YCik/edit?usp=sharing"",""เบิกจ่ายกองทุน!CA18"")"),130430)</f>
        <v>130430</v>
      </c>
      <c r="S418" s="224">
        <f ca="1">IFERROR(__xludf.DUMMYFUNCTION("IMPORTRANGE(""https://docs.google.com/spreadsheets/d/1ItG2mGa2ceCfYo0BwxsXqNm01IGEUdYcSSLTEv9YCik/edit?usp=sharing"",""เบิกจ่ายกองทุน!CB18"")"),127790)</f>
        <v>127790</v>
      </c>
      <c r="T418" s="224">
        <f ca="1">IF(Q418&gt;0,S418*100/Q418,0)</f>
        <v>97.975925783945414</v>
      </c>
      <c r="U418" s="224">
        <f ca="1">IF(R418&gt;0,S418*100/R418,0)</f>
        <v>97.975925783945414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IFERROR(__xludf.DUMMYFUNCTION("IMPORTRANGE(""https://docs.google.com/spreadsheets/d/1-uDff_7J0KD5mKrp0Vvzr7lt3OU09vwQwhkpOPPYv2Y/edit?usp=sharing"",""งบพรบ!IR18"")"),0)</f>
        <v>0</v>
      </c>
      <c r="M421" s="224">
        <f ca="1">IFERROR(__xludf.DUMMYFUNCTION("IMPORTRANGE(""https://docs.google.com/spreadsheets/d/1-uDff_7J0KD5mKrp0Vvzr7lt3OU09vwQwhkpOPPYv2Y/edit?usp=sharing"",""งบพรบ!IU18"")"),0)</f>
        <v>0</v>
      </c>
      <c r="N421" s="224">
        <f ca="1">IFERROR(__xludf.DUMMYFUNCTION("IMPORTRANGE(""https://docs.google.com/spreadsheets/d/1-uDff_7J0KD5mKrp0Vvzr7lt3OU09vwQwhkpOPPYv2Y/edit?usp=sharing"",""งบพรบ!IW18"")"),0)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70983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IFERROR(__xludf.DUMMYFUNCTION("IMPORTRANGE(""https://docs.google.com/spreadsheets/d/1eHaY18a8A9IcSdp1K8H6x8fbOy06t2VsZHhMHf-1x7Y/edit?usp=sharing"",""แผน!HJ18"")"),70983)</f>
        <v>70983</v>
      </c>
      <c r="J424" s="650">
        <f>J426+J428+J430</f>
        <v>70983</v>
      </c>
      <c r="K424" s="547">
        <f ca="1">IF(I424&gt;0,J424*100/I424,0)</f>
        <v>100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IFERROR(__xludf.DUMMYFUNCTION("IMPORTRANGE(""https://docs.google.com/spreadsheets/d/1eHaY18a8A9IcSdp1K8H6x8fbOy06t2VsZHhMHf-1x7Y/edit?usp=sharing"",""แผน!HK18"")"),4843)</f>
        <v>4843</v>
      </c>
      <c r="J425" s="650">
        <f>J427+J429+J431</f>
        <v>4843</v>
      </c>
      <c r="K425" s="547">
        <f ca="1">IF(I425&gt;0,J425*100/I425,0)</f>
        <v>100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60894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4164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7955.95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515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2133.0500000000002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164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IFERROR(__xludf.DUMMYFUNCTION("IMPORTRANGE(""https://docs.google.com/spreadsheets/d/1eHaY18a8A9IcSdp1K8H6x8fbOy06t2VsZHhMHf-1x7Y/edit?usp=sharing"",""แผน!HJ18"")"),70983)</f>
        <v>70983</v>
      </c>
      <c r="J432" s="650">
        <f>J434+J436+J438</f>
        <v>70983.39</v>
      </c>
      <c r="K432" s="547">
        <f ca="1">IF(I432&gt;0,J432*100/I432,0)</f>
        <v>100.00054942732767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IFERROR(__xludf.DUMMYFUNCTION("IMPORTRANGE(""https://docs.google.com/spreadsheets/d/1eHaY18a8A9IcSdp1K8H6x8fbOy06t2VsZHhMHf-1x7Y/edit?usp=sharing"",""แผน!HK18"")"),4843)</f>
        <v>4843</v>
      </c>
      <c r="J433" s="650">
        <f>J435+J437+J439</f>
        <v>4843</v>
      </c>
      <c r="K433" s="547">
        <f ca="1">IF(I433&gt;0,J433*100/I433,0)</f>
        <v>100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61971.44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4218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6680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450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2331.9499999999998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175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IFERROR(__xludf.DUMMYFUNCTION("IMPORTRANGE(""https://docs.google.com/spreadsheets/d/1eHaY18a8A9IcSdp1K8H6x8fbOy06t2VsZHhMHf-1x7Y/edit?usp=sharing"",""แผน!HJ18"")"),70983)</f>
        <v>70983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IFERROR(__xludf.DUMMYFUNCTION("IMPORTRANGE(""https://docs.google.com/spreadsheets/d/1eHaY18a8A9IcSdp1K8H6x8fbOy06t2VsZHhMHf-1x7Y/edit?usp=sharing"",""แผน!HK18"")"),4843)</f>
        <v>4843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5029.7700000000004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IFERROR(__xludf.DUMMYFUNCTION("IMPORTRANGE(""https://docs.google.com/spreadsheets/d/1eHaY18a8A9IcSdp1K8H6x8fbOy06t2VsZHhMHf-1x7Y/edit?usp=sharing"",""แผน!HL18"")"),5029.77)</f>
        <v>5029.7700000000004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IFERROR(__xludf.DUMMYFUNCTION("IMPORTRANGE(""https://docs.google.com/spreadsheets/d/1eHaY18a8A9IcSdp1K8H6x8fbOy06t2VsZHhMHf-1x7Y/edit?usp=sharing"",""แผน!HM18"")"),338)</f>
        <v>338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70">
        <f ca="1">IFERROR(__xludf.DUMMYFUNCTION("IMPORTRANGE(""https://docs.google.com/spreadsheets/d/1eHaY18a8A9IcSdp1K8H6x8fbOy06t2VsZHhMHf-1x7Y/edit?usp=sharing"",""แผน!HO18"")"),104)</f>
        <v>104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70">
        <f ca="1">IFERROR(__xludf.DUMMYFUNCTION("IMPORTRANGE(""https://docs.google.com/spreadsheets/d/1eHaY18a8A9IcSdp1K8H6x8fbOy06t2VsZHhMHf-1x7Y/edit?usp=sharing"",""แผน!HN18"")"),9)</f>
        <v>9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IFERROR(__xludf.DUMMYFUNCTION("IMPORTRANGE(""https://docs.google.com/spreadsheets/d/1-uDff_7J0KD5mKrp0Vvzr7lt3OU09vwQwhkpOPPYv2Y/edit?usp=sharing"",""งบพรบ!HU18"")"),0)</f>
        <v>0</v>
      </c>
      <c r="M498" s="224">
        <f ca="1">IFERROR(__xludf.DUMMYFUNCTION("IMPORTRANGE(""https://docs.google.com/spreadsheets/d/1-uDff_7J0KD5mKrp0Vvzr7lt3OU09vwQwhkpOPPYv2Y/edit?usp=sharing"",""งบพรบ!HZ18"")"),0)</f>
        <v>0</v>
      </c>
      <c r="N498" s="224">
        <f ca="1">IFERROR(__xludf.DUMMYFUNCTION("IMPORTRANGE(""https://docs.google.com/spreadsheets/d/1-uDff_7J0KD5mKrp0Vvzr7lt3OU09vwQwhkpOPPYv2Y/edit?usp=sharing"",""งบพรบ!IB18"")"),0)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IFERROR(__xludf.DUMMYFUNCTION("IMPORTRANGE(""https://docs.google.com/spreadsheets/d/1ItG2mGa2ceCfYo0BwxsXqNm01IGEUdYcSSLTEv9YCik/edit?usp=sharing"",""เบิกจ่ายกองทุน!AF18"")"),0)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IFERROR(__xludf.DUMMYFUNCTION("IMPORTRANGE(""https://docs.google.com/spreadsheets/d/1-uDff_7J0KD5mKrp0Vvzr7lt3OU09vwQwhkpOPPYv2Y/edit?usp=sharing"",""งบพรบ!HX18"")"),0)</f>
        <v>0</v>
      </c>
      <c r="M501" s="224">
        <f ca="1">IFERROR(__xludf.DUMMYFUNCTION("IMPORTRANGE(""https://docs.google.com/spreadsheets/d/1-uDff_7J0KD5mKrp0Vvzr7lt3OU09vwQwhkpOPPYv2Y/edit?usp=sharing"",""งบพรบ!IA18"")"),0)</f>
        <v>0</v>
      </c>
      <c r="N501" s="224">
        <f ca="1">IFERROR(__xludf.DUMMYFUNCTION("IMPORTRANGE(""https://docs.google.com/spreadsheets/d/1-uDff_7J0KD5mKrp0Vvzr7lt3OU09vwQwhkpOPPYv2Y/edit?usp=sharing"",""งบพรบ!IC18"")"),0)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IFERROR(__xludf.DUMMYFUNCTION("IMPORTRANGE(""https://docs.google.com/spreadsheets/d/1eHaY18a8A9IcSdp1K8H6x8fbOy06t2VsZHhMHf-1x7Y/edit?usp=sharing"",""แผน!GX18"")"),0)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IFERROR(__xludf.DUMMYFUNCTION("IMPORTRANGE(""https://docs.google.com/spreadsheets/d/1eHaY18a8A9IcSdp1K8H6x8fbOy06t2VsZHhMHf-1x7Y/edit?usp=sharing"",""แผน!GY18"")"),0)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IFERROR(__xludf.DUMMYFUNCTION("IMPORTRANGE(""https://docs.google.com/spreadsheets/d/1eHaY18a8A9IcSdp1K8H6x8fbOy06t2VsZHhMHf-1x7Y/edit?usp=sharing"",""แผน!GZ18"")"),0)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IFERROR(__xludf.DUMMYFUNCTION("IMPORTRANGE(""https://docs.google.com/spreadsheets/d/1eHaY18a8A9IcSdp1K8H6x8fbOy06t2VsZHhMHf-1x7Y/edit?usp=sharing"",""แผน!HA18"")"),0)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IFERROR(__xludf.DUMMYFUNCTION("IMPORTRANGE(""https://docs.google.com/spreadsheets/d/1eHaY18a8A9IcSdp1K8H6x8fbOy06t2VsZHhMHf-1x7Y/edit?usp=sharing"",""แผน!HB18"")"),0)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IFERROR(__xludf.DUMMYFUNCTION("IMPORTRANGE(""https://docs.google.com/spreadsheets/d/1eHaY18a8A9IcSdp1K8H6x8fbOy06t2VsZHhMHf-1x7Y/edit?usp=sharing"",""แผน!HC18"")"),0)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IFERROR(__xludf.DUMMYFUNCTION("IMPORTRANGE(""https://docs.google.com/spreadsheets/d/1-uDff_7J0KD5mKrp0Vvzr7lt3OU09vwQwhkpOPPYv2Y/edit?usp=sharing"",""งบพรบ!FM18"")"),0)</f>
        <v>0</v>
      </c>
      <c r="M518" s="224">
        <f ca="1">IFERROR(__xludf.DUMMYFUNCTION("IMPORTRANGE(""https://docs.google.com/spreadsheets/d/1-uDff_7J0KD5mKrp0Vvzr7lt3OU09vwQwhkpOPPYv2Y/edit?usp=sharing"",""งบพรบ!FR18"")"),0)</f>
        <v>0</v>
      </c>
      <c r="N518" s="224">
        <f ca="1">IFERROR(__xludf.DUMMYFUNCTION("IMPORTRANGE(""https://docs.google.com/spreadsheets/d/1-uDff_7J0KD5mKrp0Vvzr7lt3OU09vwQwhkpOPPYv2Y/edit?usp=sharing"",""งบพรบ!FT18"")"),0)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IFERROR(__xludf.DUMMYFUNCTION("IMPORTRANGE(""https://docs.google.com/spreadsheets/d/1-uDff_7J0KD5mKrp0Vvzr7lt3OU09vwQwhkpOPPYv2Y/edit?usp=sharing"",""งบพรบ!FP18"")"),0)</f>
        <v>0</v>
      </c>
      <c r="M521" s="224">
        <f ca="1">IFERROR(__xludf.DUMMYFUNCTION("IMPORTRANGE(""https://docs.google.com/spreadsheets/d/1-uDff_7J0KD5mKrp0Vvzr7lt3OU09vwQwhkpOPPYv2Y/edit?usp=sharing"",""งบพรบ!FS18"")"),0)</f>
        <v>0</v>
      </c>
      <c r="N521" s="224">
        <f ca="1">IFERROR(__xludf.DUMMYFUNCTION("IMPORTRANGE(""https://docs.google.com/spreadsheets/d/1-uDff_7J0KD5mKrp0Vvzr7lt3OU09vwQwhkpOPPYv2Y/edit?usp=sharing"",""งบพรบ!FU18"")"),0)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IFERROR(__xludf.DUMMYFUNCTION("IMPORTRANGE(""https://docs.google.com/spreadsheets/d/1-uDff_7J0KD5mKrp0Vvzr7lt3OU09vwQwhkpOPPYv2Y/edit?usp=sharing"",""งบพรบ!FW18"")"),0)</f>
        <v>0</v>
      </c>
      <c r="M539" s="224">
        <f ca="1">IFERROR(__xludf.DUMMYFUNCTION("IMPORTRANGE(""https://docs.google.com/spreadsheets/d/1-uDff_7J0KD5mKrp0Vvzr7lt3OU09vwQwhkpOPPYv2Y/edit?usp=sharing"",""งบพรบ!GB18"")"),0)</f>
        <v>0</v>
      </c>
      <c r="N539" s="224">
        <f ca="1">IFERROR(__xludf.DUMMYFUNCTION("IMPORTRANGE(""https://docs.google.com/spreadsheets/d/1-uDff_7J0KD5mKrp0Vvzr7lt3OU09vwQwhkpOPPYv2Y/edit?usp=sharing"",""งบพรบ!GD18"")"),0)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IFERROR(__xludf.DUMMYFUNCTION("IMPORTRANGE(""https://docs.google.com/spreadsheets/d/1-uDff_7J0KD5mKrp0Vvzr7lt3OU09vwQwhkpOPPYv2Y/edit?usp=sharing"",""งบพรบ!FZ18"")"),0)</f>
        <v>0</v>
      </c>
      <c r="M542" s="224">
        <f ca="1">IFERROR(__xludf.DUMMYFUNCTION("IMPORTRANGE(""https://docs.google.com/spreadsheets/d/1-uDff_7J0KD5mKrp0Vvzr7lt3OU09vwQwhkpOPPYv2Y/edit?usp=sharing"",""งบพรบ!GC18"")"),0)</f>
        <v>0</v>
      </c>
      <c r="N542" s="224">
        <f ca="1">IFERROR(__xludf.DUMMYFUNCTION("IMPORTRANGE(""https://docs.google.com/spreadsheets/d/1-uDff_7J0KD5mKrp0Vvzr7lt3OU09vwQwhkpOPPYv2Y/edit?usp=sharing"",""งบพรบ!GE18"")"),0)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IFERROR(__xludf.DUMMYFUNCTION("IMPORTRANGE(""https://docs.google.com/spreadsheets/d/1-uDff_7J0KD5mKrp0Vvzr7lt3OU09vwQwhkpOPPYv2Y/edit?usp=sharing"",""งบพรบ!GG18"")"),0)</f>
        <v>0</v>
      </c>
      <c r="M560" s="224">
        <f ca="1">IFERROR(__xludf.DUMMYFUNCTION("IMPORTRANGE(""https://docs.google.com/spreadsheets/d/1-uDff_7J0KD5mKrp0Vvzr7lt3OU09vwQwhkpOPPYv2Y/edit?usp=sharing"",""งบพรบ!GL18"")"),0)</f>
        <v>0</v>
      </c>
      <c r="N560" s="224">
        <f ca="1">IFERROR(__xludf.DUMMYFUNCTION("IMPORTRANGE(""https://docs.google.com/spreadsheets/d/1-uDff_7J0KD5mKrp0Vvzr7lt3OU09vwQwhkpOPPYv2Y/edit?usp=sharing"",""งบพรบ!GN18"")"),0)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IFERROR(__xludf.DUMMYFUNCTION("IMPORTRANGE(""https://docs.google.com/spreadsheets/d/1-uDff_7J0KD5mKrp0Vvzr7lt3OU09vwQwhkpOPPYv2Y/edit?usp=sharing"",""งบพรบ!GJ18"")"),0)</f>
        <v>0</v>
      </c>
      <c r="M563" s="224">
        <f ca="1">IFERROR(__xludf.DUMMYFUNCTION("IMPORTRANGE(""https://docs.google.com/spreadsheets/d/1-uDff_7J0KD5mKrp0Vvzr7lt3OU09vwQwhkpOPPYv2Y/edit?usp=sharing"",""งบพรบ!GM18"")"),0)</f>
        <v>0</v>
      </c>
      <c r="N563" s="224">
        <f ca="1">IFERROR(__xludf.DUMMYFUNCTION("IMPORTRANGE(""https://docs.google.com/spreadsheets/d/1-uDff_7J0KD5mKrp0Vvzr7lt3OU09vwQwhkpOPPYv2Y/edit?usp=sharing"",""งบพรบ!GO18"")"),0)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5</v>
      </c>
      <c r="J575" s="365">
        <f>J587</f>
        <v>5</v>
      </c>
      <c r="K575" s="602">
        <f>IF(I575&gt;0,J575*100/I575,0)</f>
        <v>100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264155</v>
      </c>
      <c r="M576" s="547">
        <f ca="1">M577+M578</f>
        <v>264155</v>
      </c>
      <c r="N576" s="547">
        <f ca="1">N577+N578</f>
        <v>29530</v>
      </c>
      <c r="O576" s="547">
        <f ca="1">IF(L576&gt;0,N576*100/L576,0)</f>
        <v>11.179042607559955</v>
      </c>
      <c r="P576" s="547">
        <f ca="1">IF(M576&gt;0,N576*100/M576,0)</f>
        <v>11.179042607559955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264155</v>
      </c>
      <c r="M578" s="224">
        <f ca="1">M581+M584</f>
        <v>264155</v>
      </c>
      <c r="N578" s="224">
        <f ca="1">N581+N584</f>
        <v>29530</v>
      </c>
      <c r="O578" s="224">
        <f ca="1">IF(L578&gt;0,N578*100/L578,0)</f>
        <v>11.179042607559955</v>
      </c>
      <c r="P578" s="224">
        <f ca="1">IF(M578&gt;0,N578*100/M578,0)</f>
        <v>11.179042607559955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264155</v>
      </c>
      <c r="M579" s="224">
        <f ca="1">M580+M581</f>
        <v>264155</v>
      </c>
      <c r="N579" s="224">
        <f ca="1">N580+N581</f>
        <v>29530</v>
      </c>
      <c r="O579" s="224">
        <f ca="1">IF(L579&gt;0,N579*100/L579,0)</f>
        <v>11.179042607559955</v>
      </c>
      <c r="P579" s="224">
        <f ca="1">IF(M579&gt;0,N579*100/M579,0)</f>
        <v>11.179042607559955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IFERROR(__xludf.DUMMYFUNCTION("IMPORTRANGE(""https://docs.google.com/spreadsheets/d/1-uDff_7J0KD5mKrp0Vvzr7lt3OU09vwQwhkpOPPYv2Y/edit?usp=sharing"",""งบพรบ!GQ18"")"),264155)</f>
        <v>264155</v>
      </c>
      <c r="M581" s="224">
        <f ca="1">IFERROR(__xludf.DUMMYFUNCTION("IMPORTRANGE(""https://docs.google.com/spreadsheets/d/1-uDff_7J0KD5mKrp0Vvzr7lt3OU09vwQwhkpOPPYv2Y/edit?usp=sharing"",""งบพรบ!GV18"")"),264155)</f>
        <v>264155</v>
      </c>
      <c r="N581" s="224">
        <f ca="1">IFERROR(__xludf.DUMMYFUNCTION("IMPORTRANGE(""https://docs.google.com/spreadsheets/d/1-uDff_7J0KD5mKrp0Vvzr7lt3OU09vwQwhkpOPPYv2Y/edit?usp=sharing"",""งบพรบ!GX18"")"),29530)</f>
        <v>29530</v>
      </c>
      <c r="O581" s="224">
        <f ca="1">IF(L581&gt;0,N581*100/L581,0)</f>
        <v>11.179042607559955</v>
      </c>
      <c r="P581" s="224">
        <f ca="1">IF(M581&gt;0,N581*100/M581,0)</f>
        <v>11.179042607559955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IFERROR(__xludf.DUMMYFUNCTION("IMPORTRANGE(""https://docs.google.com/spreadsheets/d/1-uDff_7J0KD5mKrp0Vvzr7lt3OU09vwQwhkpOPPYv2Y/edit?usp=sharing"",""งบพรบ!GT18"")"),0)</f>
        <v>0</v>
      </c>
      <c r="M584" s="224">
        <f ca="1">IFERROR(__xludf.DUMMYFUNCTION("IMPORTRANGE(""https://docs.google.com/spreadsheets/d/1-uDff_7J0KD5mKrp0Vvzr7lt3OU09vwQwhkpOPPYv2Y/edit?usp=sharing"",""งบพรบ!GW18"")"),0)</f>
        <v>0</v>
      </c>
      <c r="N584" s="224">
        <f ca="1">IFERROR(__xludf.DUMMYFUNCTION("IMPORTRANGE(""https://docs.google.com/spreadsheets/d/1-uDff_7J0KD5mKrp0Vvzr7lt3OU09vwQwhkpOPPYv2Y/edit?usp=sharing"",""งบพรบ!GY18"")"),0)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1</v>
      </c>
      <c r="K586" s="376">
        <f>IF(I586&gt;0,J586*100/I586,0)</f>
        <v>50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5</v>
      </c>
      <c r="J587" s="380">
        <v>5</v>
      </c>
      <c r="K587" s="224">
        <f>IF(I587&gt;0,J587*100/I587,0)</f>
        <v>100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IFERROR(__xludf.DUMMYFUNCTION("IMPORTRANGE(""https://docs.google.com/spreadsheets/d/1-uDff_7J0KD5mKrp0Vvzr7lt3OU09vwQwhkpOPPYv2Y/edit?usp=sharing"",""งบพรบ!HK18"")"),0)</f>
        <v>0</v>
      </c>
      <c r="M604" s="224">
        <f ca="1">IFERROR(__xludf.DUMMYFUNCTION("IMPORTRANGE(""https://docs.google.com/spreadsheets/d/1-uDff_7J0KD5mKrp0Vvzr7lt3OU09vwQwhkpOPPYv2Y/edit?usp=sharing"",""งบพรบ!HP18"")"),0)</f>
        <v>0</v>
      </c>
      <c r="N604" s="224">
        <f ca="1">IFERROR(__xludf.DUMMYFUNCTION("IMPORTRANGE(""https://docs.google.com/spreadsheets/d/1-uDff_7J0KD5mKrp0Vvzr7lt3OU09vwQwhkpOPPYv2Y/edit?usp=sharing"",""งบพรบ!HR18"")"),0)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IFERROR(__xludf.DUMMYFUNCTION("IMPORTRANGE(""https://docs.google.com/spreadsheets/d/1ItG2mGa2ceCfYo0BwxsXqNm01IGEUdYcSSLTEv9YCik/edit?usp=sharing"",""เบิกจ่ายกองทุน!AV18"")"),0)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IFERROR(__xludf.DUMMYFUNCTION("IMPORTRANGE(""https://docs.google.com/spreadsheets/d/1ItG2mGa2ceCfYo0BwxsXqNm01IGEUdYcSSLTEv9YCik/edit?usp=sharing"",""เบิกจ่ายกองทุน!AW18"")"),0)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IFERROR(__xludf.DUMMYFUNCTION("IMPORTRANGE(""https://docs.google.com/spreadsheets/d/1ItG2mGa2ceCfYo0BwxsXqNm01IGEUdYcSSLTEv9YCik/edit?usp=sharing"",""เบิกจ่ายกองทุน!AX18"")"),0)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IFERROR(__xludf.DUMMYFUNCTION("IMPORTRANGE(""https://docs.google.com/spreadsheets/d/1-uDff_7J0KD5mKrp0Vvzr7lt3OU09vwQwhkpOPPYv2Y/edit?usp=sharing"",""งบพรบ!HN18"")"),0)</f>
        <v>0</v>
      </c>
      <c r="M607" s="224">
        <f ca="1">IFERROR(__xludf.DUMMYFUNCTION("IMPORTRANGE(""https://docs.google.com/spreadsheets/d/1-uDff_7J0KD5mKrp0Vvzr7lt3OU09vwQwhkpOPPYv2Y/edit?usp=sharing"",""งบพรบ!HQ18"")"),0)</f>
        <v>0</v>
      </c>
      <c r="N607" s="224">
        <f ca="1">IFERROR(__xludf.DUMMYFUNCTION("IMPORTRANGE(""https://docs.google.com/spreadsheets/d/1-uDff_7J0KD5mKrp0Vvzr7lt3OU09vwQwhkpOPPYv2Y/edit?usp=sharing"",""งบพรบ!HS18"")"),0)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IFERROR(__xludf.DUMMYFUNCTION("IMPORTRANGE(""https://docs.google.com/spreadsheets/d/1ItG2mGa2ceCfYo0BwxsXqNm01IGEUdYcSSLTEv9YCik/edit?usp=sharing"",""เบิกจ่ายกองทุน!AY18"")"),0)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IFERROR(__xludf.DUMMYFUNCTION("IMPORTRANGE(""https://docs.google.com/spreadsheets/d/1ItG2mGa2ceCfYo0BwxsXqNm01IGEUdYcSSLTEv9YCik/edit?usp=sharing"",""เบิกจ่ายกองทุน!AZ18"")"),0)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IFERROR(__xludf.DUMMYFUNCTION("IMPORTRANGE(""https://docs.google.com/spreadsheets/d/1ItG2mGa2ceCfYo0BwxsXqNm01IGEUdYcSSLTEv9YCik/edit?usp=sharing"",""เบิกจ่ายกองทุน!BA18"")"),0)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7475</v>
      </c>
      <c r="R616" s="547">
        <f ca="1">R617+R618</f>
        <v>7475</v>
      </c>
      <c r="S616" s="547">
        <f ca="1">S617+S618</f>
        <v>2140</v>
      </c>
      <c r="T616" s="547">
        <f ca="1">IF(Q616&gt;0,S616*100/Q616,0)</f>
        <v>28.628762541806019</v>
      </c>
      <c r="U616" s="547">
        <f ca="1">IF(R616&gt;0,S616*100/R616,0)</f>
        <v>28.628762541806019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7475</v>
      </c>
      <c r="R618" s="224">
        <f ca="1">R621+R624</f>
        <v>7475</v>
      </c>
      <c r="S618" s="224">
        <f ca="1">S621+S624</f>
        <v>2140</v>
      </c>
      <c r="T618" s="224">
        <f ca="1">IF(Q618&gt;0,S618*100/Q618,0)</f>
        <v>28.628762541806019</v>
      </c>
      <c r="U618" s="224">
        <f ca="1">IF(R618&gt;0,S618*100/R618,0)</f>
        <v>28.628762541806019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7475</v>
      </c>
      <c r="R619" s="224">
        <f ca="1">R620+R621</f>
        <v>7475</v>
      </c>
      <c r="S619" s="224">
        <f ca="1">S620+S621</f>
        <v>2140</v>
      </c>
      <c r="T619" s="224">
        <f ca="1">IF(Q619&gt;0,S619*100/Q619,0)</f>
        <v>28.628762541806019</v>
      </c>
      <c r="U619" s="224">
        <f ca="1">IF(R619&gt;0,S619*100/R619,0)</f>
        <v>28.628762541806019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IFERROR(__xludf.DUMMYFUNCTION("IMPORTRANGE(""https://docs.google.com/spreadsheets/d/1ItG2mGa2ceCfYo0BwxsXqNm01IGEUdYcSSLTEv9YCik/edit?usp=sharing"",""เบิกจ่ายกองทุน!F18"")"),7475)</f>
        <v>7475</v>
      </c>
      <c r="R621" s="224">
        <f ca="1">IFERROR(__xludf.DUMMYFUNCTION("IMPORTRANGE(""https://docs.google.com/spreadsheets/d/1ItG2mGa2ceCfYo0BwxsXqNm01IGEUdYcSSLTEv9YCik/edit?usp=sharing"",""เบิกจ่ายกองทุน!G18"")"),7475)</f>
        <v>7475</v>
      </c>
      <c r="S621" s="224">
        <f ca="1">IFERROR(__xludf.DUMMYFUNCTION("IMPORTRANGE(""https://docs.google.com/spreadsheets/d/1ItG2mGa2ceCfYo0BwxsXqNm01IGEUdYcSSLTEv9YCik/edit?usp=sharing"",""เบิกจ่ายกองทุน!H18"")"),2140)</f>
        <v>2140</v>
      </c>
      <c r="T621" s="224">
        <f ca="1">IF(Q621&gt;0,S621*100/Q621,0)</f>
        <v>28.628762541806019</v>
      </c>
      <c r="U621" s="224">
        <f ca="1">IF(R621&gt;0,S621*100/R621,0)</f>
        <v>28.628762541806019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IFERROR(__xludf.DUMMYFUNCTION("IMPORTRANGE(""https://docs.google.com/spreadsheets/d/1eHaY18a8A9IcSdp1K8H6x8fbOy06t2VsZHhMHf-1x7Y/edit?usp=sharing"",""แผน!ID18"")"),50)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IFERROR(__xludf.DUMMYFUNCTION("IMPORTRANGE(""https://docs.google.com/spreadsheets/d/1eHaY18a8A9IcSdp1K8H6x8fbOy06t2VsZHhMHf-1x7Y/edit?usp=sharing"",""แผน!IC18"")"),1)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IFERROR(__xludf.DUMMYFUNCTION("IMPORTRANGE(""https://docs.google.com/spreadsheets/d/1eHaY18a8A9IcSdp1K8H6x8fbOy06t2VsZHhMHf-1x7Y/edit?usp=sharing"",""แผน!IC18"")"),1)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IFERROR(__xludf.DUMMYFUNCTION("IMPORTRANGE(""https://docs.google.com/spreadsheets/d/1eHaY18a8A9IcSdp1K8H6x8fbOy06t2VsZHhMHf-1x7Y/edit?usp=sharing"",""แผน!IE18"")"),0)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284040</v>
      </c>
      <c r="R642" s="547">
        <f ca="1">R643+R644</f>
        <v>284040</v>
      </c>
      <c r="S642" s="547">
        <f ca="1">S643+S644</f>
        <v>22190</v>
      </c>
      <c r="T642" s="547">
        <f ca="1">IF(Q642&gt;0,S642*100/Q642,0)</f>
        <v>7.8122799605689339</v>
      </c>
      <c r="U642" s="547">
        <f ca="1">IF(R642&gt;0,S642*100/R642,0)</f>
        <v>7.8122799605689339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284040</v>
      </c>
      <c r="R644" s="224">
        <f ca="1">R647+R650</f>
        <v>284040</v>
      </c>
      <c r="S644" s="224">
        <f ca="1">S647+S650</f>
        <v>22190</v>
      </c>
      <c r="T644" s="224">
        <f ca="1">IF(Q644&gt;0,S644*100/Q644,0)</f>
        <v>7.8122799605689339</v>
      </c>
      <c r="U644" s="224">
        <f ca="1">IF(R644&gt;0,S644*100/R644,0)</f>
        <v>7.8122799605689339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284040</v>
      </c>
      <c r="R645" s="224">
        <f ca="1">R646+R647</f>
        <v>284040</v>
      </c>
      <c r="S645" s="224">
        <f ca="1">S646+S647</f>
        <v>22190</v>
      </c>
      <c r="T645" s="224">
        <f ca="1">IF(Q645&gt;0,S645*100/Q645,0)</f>
        <v>7.8122799605689339</v>
      </c>
      <c r="U645" s="224">
        <f ca="1">IF(R645&gt;0,S645*100/R645,0)</f>
        <v>7.8122799605689339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7" s="224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7" s="224">
        <f ca="1">IFERROR(__xludf.DUMMYFUNCTION("IMPORTRANGE(""https://docs.google.com/spreadsheets/d/1ItG2mGa2ceCfYo0BwxsXqNm01IGEUdYcSSLTEv9YCik/edit?usp=sharing"",""เบิกจ่ายกองทุน!K18"")"),22190)</f>
        <v>22190</v>
      </c>
      <c r="T647" s="224">
        <f ca="1">IF(Q647&gt;0,S647*100/Q647,0)</f>
        <v>7.8122799605689339</v>
      </c>
      <c r="U647" s="224">
        <f ca="1">IF(R647&gt;0,S647*100/R647,0)</f>
        <v>7.8122799605689339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IFERROR(__xludf.DUMMYFUNCTION("IMPORTRANGE(""https://docs.google.com/spreadsheets/d/1eHaY18a8A9IcSdp1K8H6x8fbOy06t2VsZHhMHf-1x7Y/edit?usp=sharing"",""แผน!IF18"")"),0)</f>
        <v>0</v>
      </c>
      <c r="J652" s="184">
        <f ca="1">IFERROR(__xludf.DUMMYFUNCTION("IMPORTRANGE(""https://docs.google.com/spreadsheets/d/1tdoBKaGub7dwA3U6UFTqxio9LNnvDCQjHKmttSEBsFQ/edit?usp=sharing"",""จัดที่ดิน!AU18"")"),0)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IFERROR(__xludf.DUMMYFUNCTION("IMPORTRANGE(""https://docs.google.com/spreadsheets/d/1eHaY18a8A9IcSdp1K8H6x8fbOy06t2VsZHhMHf-1x7Y/edit?usp=sharing"",""แผน!IG18"")"),40)</f>
        <v>40</v>
      </c>
      <c r="J653" s="184">
        <f ca="1">IFERROR(__xludf.DUMMYFUNCTION("IMPORTRANGE(""https://docs.google.com/spreadsheets/d/1tdoBKaGub7dwA3U6UFTqxio9LNnvDCQjHKmttSEBsFQ/edit?usp=sharing"",""จัดที่ดิน!AW18"")"),0)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IFERROR(__xludf.DUMMYFUNCTION("IMPORTRANGE(""https://docs.google.com/spreadsheets/d/1eHaY18a8A9IcSdp1K8H6x8fbOy06t2VsZHhMHf-1x7Y/edit?usp=sharing"",""แผน!IH18"")"),1955)</f>
        <v>1955</v>
      </c>
      <c r="J654" s="338">
        <f>J657+J660</f>
        <v>2447</v>
      </c>
      <c r="K654" s="547">
        <f ca="1">IF(I654&gt;0,J654*100/I654,0)</f>
        <v>125.16624040920716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118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118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IFERROR(__xludf.DUMMYFUNCTION("IMPORTRANGE(""https://docs.google.com/spreadsheets/d/1eHaY18a8A9IcSdp1K8H6x8fbOy06t2VsZHhMHf-1x7Y/edit?usp=sharing"",""แผน!II18"")"),1455)</f>
        <v>1455</v>
      </c>
      <c r="J657" s="380">
        <v>2447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IFERROR(__xludf.DUMMYFUNCTION("IMPORTRANGE(""https://docs.google.com/spreadsheets/d/1eHaY18a8A9IcSdp1K8H6x8fbOy06t2VsZHhMHf-1x7Y/edit?usp=sharing"",""แผน!IJ18"")"),500)</f>
        <v>500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IFERROR(__xludf.DUMMYFUNCTION("IMPORTRANGE(""https://docs.google.com/spreadsheets/d/1eHaY18a8A9IcSdp1K8H6x8fbOy06t2VsZHhMHf-1x7Y/edit?usp=sharing"",""แผน!IK18"")"),1846)</f>
        <v>1846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IFERROR(__xludf.DUMMYFUNCTION("IMPORTRANGE(""https://docs.google.com/spreadsheets/d/1tdoBKaGub7dwA3U6UFTqxio9LNnvDCQjHKmttSEBsFQ/edit?usp=sharing"",""จัดที่ดิน!AY18"")"),46)</f>
        <v>46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IFERROR(__xludf.DUMMYFUNCTION("IMPORTRANGE(""https://docs.google.com/spreadsheets/d/1tdoBKaGub7dwA3U6UFTqxio9LNnvDCQjHKmttSEBsFQ/edit?usp=sharing"",""จัดที่ดิน!AZ18"")"),48)</f>
        <v>48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IFERROR(__xludf.DUMMYFUNCTION("IMPORTRANGE(""https://docs.google.com/spreadsheets/d/1eHaY18a8A9IcSdp1K8H6x8fbOy06t2VsZHhMHf-1x7Y/edit?usp=sharing"",""แผน!IL18"")"),2500)</f>
        <v>2500</v>
      </c>
      <c r="J673" s="184">
        <f ca="1">IFERROR(__xludf.DUMMYFUNCTION("IMPORTRANGE(""https://docs.google.com/spreadsheets/d/1tdoBKaGub7dwA3U6UFTqxio9LNnvDCQjHKmttSEBsFQ/edit?usp=sharing"",""จัดที่ดิน!BA18"")"),876.34)</f>
        <v>876.34</v>
      </c>
      <c r="K673" s="224">
        <f ca="1">IF(I673&gt;0,J673*100/I673,0)</f>
        <v>35.053600000000003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IFERROR(__xludf.DUMMYFUNCTION("IMPORTRANGE(""https://docs.google.com/spreadsheets/d/1eHaY18a8A9IcSdp1K8H6x8fbOy06t2VsZHhMHf-1x7Y/edit?usp=sharing"",""แผน!IM18"")"),40)</f>
        <v>40</v>
      </c>
      <c r="J674" s="338">
        <f ca="1">J676+J679</f>
        <v>79</v>
      </c>
      <c r="K674" s="547">
        <f ca="1">IF(I674&gt;0,J674*100/I674,0)</f>
        <v>197.5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IFERROR(__xludf.DUMMYFUNCTION("IMPORTRANGE(""https://docs.google.com/spreadsheets/d/1eHaY18a8A9IcSdp1K8H6x8fbOy06t2VsZHhMHf-1x7Y/edit?usp=sharing"",""แผน!IN18"")"),1009)</f>
        <v>1009</v>
      </c>
      <c r="J675" s="338">
        <f ca="1">J678+J681</f>
        <v>1652.56</v>
      </c>
      <c r="K675" s="547">
        <f ca="1">IF(I675&gt;0,J675*100/I675,0)</f>
        <v>163.78196233894946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IFERROR(__xludf.DUMMYFUNCTION("IMPORTRANGE(""https://docs.google.com/spreadsheets/d/1eHaY18a8A9IcSdp1K8H6x8fbOy06t2VsZHhMHf-1x7Y/edit?usp=sharing"",""แผน!IO18"")"),40)</f>
        <v>40</v>
      </c>
      <c r="J676" s="184">
        <f ca="1">IFERROR(__xludf.DUMMYFUNCTION("IMPORTRANGE(""https://docs.google.com/spreadsheets/d/1tdoBKaGub7dwA3U6UFTqxio9LNnvDCQjHKmttSEBsFQ/edit?usp=sharing"",""จัดที่ดิน!BF18"")"),79)</f>
        <v>79</v>
      </c>
      <c r="K676" s="224">
        <f ca="1">IF(I676&gt;0,J676*100/I676,0)</f>
        <v>197.5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IFERROR(__xludf.DUMMYFUNCTION("IMPORTRANGE(""https://docs.google.com/spreadsheets/d/1tdoBKaGub7dwA3U6UFTqxio9LNnvDCQjHKmttSEBsFQ/edit?usp=sharing"",""จัดที่ดิน!BG18"")"),84)</f>
        <v>84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IFERROR(__xludf.DUMMYFUNCTION("IMPORTRANGE(""https://docs.google.com/spreadsheets/d/1eHaY18a8A9IcSdp1K8H6x8fbOy06t2VsZHhMHf-1x7Y/edit?usp=sharing"",""แผน!IP18"")"),1009)</f>
        <v>1009</v>
      </c>
      <c r="J678" s="184">
        <f ca="1">IFERROR(__xludf.DUMMYFUNCTION("IMPORTRANGE(""https://docs.google.com/spreadsheets/d/1tdoBKaGub7dwA3U6UFTqxio9LNnvDCQjHKmttSEBsFQ/edit?usp=sharing"",""จัดที่ดิน!BH18"")"),1652.56)</f>
        <v>1652.56</v>
      </c>
      <c r="K678" s="224">
        <f ca="1">IF(I678&gt;0,J678*100/I678,0)</f>
        <v>163.78196233894946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IFERROR(__xludf.DUMMYFUNCTION("IMPORTRANGE(""https://docs.google.com/spreadsheets/d/1eHaY18a8A9IcSdp1K8H6x8fbOy06t2VsZHhMHf-1x7Y/edit?usp=sharing"",""แผน!IQ18"")"),0)</f>
        <v>0</v>
      </c>
      <c r="J679" s="184">
        <f ca="1">IFERROR(__xludf.DUMMYFUNCTION("IMPORTRANGE(""https://docs.google.com/spreadsheets/d/1tdoBKaGub7dwA3U6UFTqxio9LNnvDCQjHKmttSEBsFQ/edit?usp=sharing"",""จัดที่ดิน!BK18"")"),0)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IFERROR(__xludf.DUMMYFUNCTION("IMPORTRANGE(""https://docs.google.com/spreadsheets/d/1tdoBKaGub7dwA3U6UFTqxio9LNnvDCQjHKmttSEBsFQ/edit?usp=sharing"",""จัดที่ดิน!BL18"")"),0)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IFERROR(__xludf.DUMMYFUNCTION("IMPORTRANGE(""https://docs.google.com/spreadsheets/d/1eHaY18a8A9IcSdp1K8H6x8fbOy06t2VsZHhMHf-1x7Y/edit?usp=sharing"",""แผน!IR18"")"),0)</f>
        <v>0</v>
      </c>
      <c r="J681" s="184">
        <f ca="1">IFERROR(__xludf.DUMMYFUNCTION("IMPORTRANGE(""https://docs.google.com/spreadsheets/d/1tdoBKaGub7dwA3U6UFTqxio9LNnvDCQjHKmttSEBsFQ/edit?usp=sharing"",""จัดที่ดิน!BM18"")"),0)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IFERROR(__xludf.DUMMYFUNCTION("IMPORTRANGE(""https://docs.google.com/spreadsheets/d/1eHaY18a8A9IcSdp1K8H6x8fbOy06t2VsZHhMHf-1x7Y/edit?usp=sharing"",""แผน!IS18"")"),105)</f>
        <v>105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300</v>
      </c>
      <c r="J689" s="552">
        <f ca="1">J707</f>
        <v>0</v>
      </c>
      <c r="K689" s="551">
        <f ca="1">IF(I689&gt;0,J689*100/I689,0)</f>
        <v>0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463010</v>
      </c>
      <c r="R690" s="547">
        <f ca="1">R691+R692</f>
        <v>463010</v>
      </c>
      <c r="S690" s="547">
        <f ca="1">S691+S692</f>
        <v>344283.95</v>
      </c>
      <c r="T690" s="547">
        <f ca="1">IF(Q690&gt;0,S690*100/Q690,0)</f>
        <v>74.357778449709514</v>
      </c>
      <c r="U690" s="547">
        <f ca="1">IF(R690&gt;0,S690*100/R690,0)</f>
        <v>74.357778449709514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463010</v>
      </c>
      <c r="R692" s="224">
        <f ca="1">R695+R698</f>
        <v>463010</v>
      </c>
      <c r="S692" s="224">
        <f ca="1">S695+S698</f>
        <v>344283.95</v>
      </c>
      <c r="T692" s="224">
        <f ca="1">IF(Q692&gt;0,S692*100/Q692,0)</f>
        <v>74.357778449709514</v>
      </c>
      <c r="U692" s="224">
        <f ca="1">IF(R692&gt;0,S692*100/R692,0)</f>
        <v>74.357778449709514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463010</v>
      </c>
      <c r="R693" s="224">
        <f ca="1">R694+R695</f>
        <v>463010</v>
      </c>
      <c r="S693" s="224">
        <f ca="1">S694+S695</f>
        <v>344283.95</v>
      </c>
      <c r="T693" s="224">
        <f ca="1">IF(Q693&gt;0,S693*100/Q693,0)</f>
        <v>74.357778449709514</v>
      </c>
      <c r="U693" s="224">
        <f ca="1">IF(R693&gt;0,S693*100/R693,0)</f>
        <v>74.357778449709514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5" s="224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5" s="224">
        <f ca="1">IFERROR(__xludf.DUMMYFUNCTION("IMPORTRANGE(""https://docs.google.com/spreadsheets/d/1ItG2mGa2ceCfYo0BwxsXqNm01IGEUdYcSSLTEv9YCik/edit?usp=sharing"",""เบิกจ่ายกองทุน!N18"")"),344283.95)</f>
        <v>344283.95</v>
      </c>
      <c r="T695" s="224">
        <f ca="1">IF(Q695&gt;0,S695*100/Q695,0)</f>
        <v>74.357778449709514</v>
      </c>
      <c r="U695" s="224">
        <f ca="1">IF(R695&gt;0,S695*100/R695,0)</f>
        <v>74.357778449709514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IFERROR(__xludf.DUMMYFUNCTION("IMPORTRANGE(""https://docs.google.com/spreadsheets/d/1eHaY18a8A9IcSdp1K8H6x8fbOy06t2VsZHhMHf-1x7Y/edit?usp=sharing"",""แผน!LC18"")"),3)</f>
        <v>3</v>
      </c>
      <c r="J700" s="380">
        <v>3</v>
      </c>
      <c r="K700" s="569">
        <f ca="1">IF(I700&gt;0,J700*100/I700,0)</f>
        <v>100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305</v>
      </c>
      <c r="J701" s="338">
        <f ca="1">J703+J705</f>
        <v>223</v>
      </c>
      <c r="K701" s="547">
        <f ca="1">IF(I701&gt;0,J701*100/I701,0)</f>
        <v>73.114754098360649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123.67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IFERROR(__xludf.DUMMYFUNCTION("IMPORTRANGE(""https://docs.google.com/spreadsheets/d/1eHaY18a8A9IcSdp1K8H6x8fbOy06t2VsZHhMHf-1x7Y/edit?usp=sharing"",""แผน!LJ18"")"),300)</f>
        <v>300</v>
      </c>
      <c r="J703" s="184">
        <f ca="1">IFERROR(__xludf.DUMMYFUNCTION("IMPORTRANGE(""https://docs.google.com/spreadsheets/d/1tdoBKaGub7dwA3U6UFTqxio9LNnvDCQjHKmttSEBsFQ/edit?usp=sharing"",""จัดที่ดิน!AP18"")"),223)</f>
        <v>223</v>
      </c>
      <c r="K703" s="224">
        <f ca="1">IF(I703&gt;0,J703*100/I703,0)</f>
        <v>74.333333333333329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IFERROR(__xludf.DUMMYFUNCTION("IMPORTRANGE(""https://docs.google.com/spreadsheets/d/1tdoBKaGub7dwA3U6UFTqxio9LNnvDCQjHKmttSEBsFQ/edit?usp=sharing"",""จัดที่ดิน!AQ18"")"),123.67)</f>
        <v>123.67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IFERROR(__xludf.DUMMYFUNCTION("IMPORTRANGE(""https://docs.google.com/spreadsheets/d/1eHaY18a8A9IcSdp1K8H6x8fbOy06t2VsZHhMHf-1x7Y/edit?usp=sharing"",""แผน!LK18"")"),5)</f>
        <v>5</v>
      </c>
      <c r="J705" s="184">
        <f ca="1">IFERROR(__xludf.DUMMYFUNCTION("IMPORTRANGE(""https://docs.google.com/spreadsheets/d/1tdoBKaGub7dwA3U6UFTqxio9LNnvDCQjHKmttSEBsFQ/edit?usp=sharing"",""จัดที่ดิน!AR18"")"),0)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IFERROR(__xludf.DUMMYFUNCTION("IMPORTRANGE(""https://docs.google.com/spreadsheets/d/1tdoBKaGub7dwA3U6UFTqxio9LNnvDCQjHKmttSEBsFQ/edit?usp=sharing"",""จัดที่ดิน!AS18"")"),0)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IFERROR(__xludf.DUMMYFUNCTION("IMPORTRANGE(""https://docs.google.com/spreadsheets/d/1eHaY18a8A9IcSdp1K8H6x8fbOy06t2VsZHhMHf-1x7Y/edit?usp=sharing"",""แผน!LJ18"")"),300)</f>
        <v>300</v>
      </c>
      <c r="J707" s="184">
        <f ca="1">IFERROR(__xludf.DUMMYFUNCTION("IMPORTRANGE(""https://docs.google.com/spreadsheets/d/1tdoBKaGub7dwA3U6UFTqxio9LNnvDCQjHKmttSEBsFQ/edit?usp=sharing"",""จัดที่ดิน!BN18"")"),0)</f>
        <v>0</v>
      </c>
      <c r="K707" s="224">
        <f ca="1">IF(I707&gt;0,J707*100/I707,0)</f>
        <v>0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IFERROR(__xludf.DUMMYFUNCTION("IMPORTRANGE(""https://docs.google.com/spreadsheets/d/1tdoBKaGub7dwA3U6UFTqxio9LNnvDCQjHKmttSEBsFQ/edit?usp=sharing"",""จัดที่ดิน!BO18"")"),0)</f>
        <v>0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IFERROR(__xludf.DUMMYFUNCTION("IMPORTRANGE(""https://docs.google.com/spreadsheets/d/1eHaY18a8A9IcSdp1K8H6x8fbOy06t2VsZHhMHf-1x7Y/edit?usp=sharing"",""แผน!LK18"")"),5)</f>
        <v>5</v>
      </c>
      <c r="J709" s="184">
        <f ca="1">IFERROR(__xludf.DUMMYFUNCTION("IMPORTRANGE(""https://docs.google.com/spreadsheets/d/1tdoBKaGub7dwA3U6UFTqxio9LNnvDCQjHKmttSEBsFQ/edit?usp=sharing"",""จัดที่ดิน!BP18"")"),0)</f>
        <v>0</v>
      </c>
      <c r="K709" s="224">
        <f ca="1">IF(I709&gt;0,J709*100/I709,0)</f>
        <v>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IFERROR(__xludf.DUMMYFUNCTION("IMPORTRANGE(""https://docs.google.com/spreadsheets/d/1tdoBKaGub7dwA3U6UFTqxio9LNnvDCQjHKmttSEBsFQ/edit?usp=sharing"",""จัดที่ดิน!BQ18"")"),0)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IFERROR(__xludf.DUMMYFUNCTION("IMPORTRANGE(""https://docs.google.com/spreadsheets/d/1eHaY18a8A9IcSdp1K8H6x8fbOy06t2VsZHhMHf-1x7Y/edit?usp=sharing"",""แผน!GA18"")"),128)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IFERROR(__xludf.DUMMYFUNCTION("IMPORTRANGE(""https://docs.google.com/spreadsheets/d/1eHaY18a8A9IcSdp1K8H6x8fbOy06t2VsZHhMHf-1x7Y/edit?usp=sharing"",""แผน!FZ18"")"),1250)</f>
        <v>1250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254502</v>
      </c>
      <c r="T728" s="547">
        <f ca="1">IF(Q728&gt;0,S728*100/Q728,0)</f>
        <v>25.23644729144149</v>
      </c>
      <c r="U728" s="547">
        <f ca="1">IF(R728&gt;0,S728*100/R728,0)</f>
        <v>25.23644729144149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254502</v>
      </c>
      <c r="T730" s="224">
        <f ca="1">IF(Q730&gt;0,S730*100/Q730,0)</f>
        <v>25.23644729144149</v>
      </c>
      <c r="U730" s="224">
        <f ca="1">IF(R730&gt;0,S730*100/R730,0)</f>
        <v>25.23644729144149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254502</v>
      </c>
      <c r="T731" s="224">
        <f ca="1">IF(Q731&gt;0,S731*100/Q731,0)</f>
        <v>25.23644729144149</v>
      </c>
      <c r="U731" s="224">
        <f ca="1">IF(R731&gt;0,S731*100/R731,0)</f>
        <v>25.23644729144149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IFERROR(__xludf.DUMMYFUNCTION("IMPORTRANGE(""https://docs.google.com/spreadsheets/d/1ItG2mGa2ceCfYo0BwxsXqNm01IGEUdYcSSLTEv9YCik/edit?usp=sharing"",""เบิกจ่ายกองทุน!Q18"")"),254502)</f>
        <v>254502</v>
      </c>
      <c r="T733" s="224">
        <f ca="1">IF(Q733&gt;0,S733*100/Q733,0)</f>
        <v>25.23644729144149</v>
      </c>
      <c r="U733" s="224">
        <f ca="1">IF(R733&gt;0,S733*100/R733,0)</f>
        <v>25.23644729144149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IFERROR(__xludf.DUMMYFUNCTION("IMPORTRANGE(""https://docs.google.com/spreadsheets/d/1eHaY18a8A9IcSdp1K8H6x8fbOy06t2VsZHhMHf-1x7Y/edit?usp=sharing"",""แผน!GB18"")"),1000)</f>
        <v>1000</v>
      </c>
      <c r="J740" s="555">
        <v>1000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IFERROR(__xludf.DUMMYFUNCTION("IMPORTRANGE(""https://docs.google.com/spreadsheets/d/1eHaY18a8A9IcSdp1K8H6x8fbOy06t2VsZHhMHf-1x7Y/edit?usp=sharing"",""แผน!GC18"")"),100)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IFERROR(__xludf.DUMMYFUNCTION("IMPORTRANGE(""https://docs.google.com/spreadsheets/d/1eHaY18a8A9IcSdp1K8H6x8fbOy06t2VsZHhMHf-1x7Y/edit?usp=sharing"",""แผน!GD18"")"),250)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IFERROR(__xludf.DUMMYFUNCTION("IMPORTRANGE(""https://docs.google.com/spreadsheets/d/1eHaY18a8A9IcSdp1K8H6x8fbOy06t2VsZHhMHf-1x7Y/edit?usp=sharing"",""แผน!GE18"")"),25)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IFERROR(__xludf.DUMMYFUNCTION("IMPORTRANGE(""https://docs.google.com/spreadsheets/d/1eHaY18a8A9IcSdp1K8H6x8fbOy06t2VsZHhMHf-1x7Y/edit?usp=sharing"",""แผน!GF18"")"),3)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IFERROR(__xludf.DUMMYFUNCTION("IMPORTRANGE(""https://docs.google.com/spreadsheets/d/1eHaY18a8A9IcSdp1K8H6x8fbOy06t2VsZHhMHf-1x7Y/edit?usp=sharing"",""แผน!GB18"")"),1000)</f>
        <v>1000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IFERROR(__xludf.DUMMYFUNCTION("IMPORTRANGE(""https://docs.google.com/spreadsheets/d/1eHaY18a8A9IcSdp1K8H6x8fbOy06t2VsZHhMHf-1x7Y/edit?usp=sharing"",""แผน!GD18"")"),250)</f>
        <v>250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70</v>
      </c>
      <c r="J758" s="552">
        <f>J772</f>
        <v>70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470400</v>
      </c>
      <c r="R760" s="547">
        <f ca="1">R761+R762</f>
        <v>470400</v>
      </c>
      <c r="S760" s="547">
        <f ca="1">S761+S762</f>
        <v>405745</v>
      </c>
      <c r="T760" s="547">
        <f ca="1">IF(Q760&gt;0,S760*100/Q760,0)</f>
        <v>86.255314625850346</v>
      </c>
      <c r="U760" s="547">
        <f ca="1">IF(R760&gt;0,S760*100/R760,0)</f>
        <v>86.255314625850346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470400</v>
      </c>
      <c r="R762" s="224">
        <f ca="1">R765+R768</f>
        <v>470400</v>
      </c>
      <c r="S762" s="224">
        <f ca="1">S765+S768</f>
        <v>405745</v>
      </c>
      <c r="T762" s="224">
        <f ca="1">IF(Q762&gt;0,S762*100/Q762,0)</f>
        <v>86.255314625850346</v>
      </c>
      <c r="U762" s="224">
        <f ca="1">IF(R762&gt;0,S762*100/R762,0)</f>
        <v>86.255314625850346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470400</v>
      </c>
      <c r="R763" s="224">
        <f ca="1">R764+R765</f>
        <v>470400</v>
      </c>
      <c r="S763" s="224">
        <f ca="1">S764+S765</f>
        <v>405745</v>
      </c>
      <c r="T763" s="224">
        <f ca="1">IF(Q763&gt;0,S763*100/Q763,0)</f>
        <v>86.255314625850346</v>
      </c>
      <c r="U763" s="224">
        <f ca="1">IF(R763&gt;0,S763*100/R763,0)</f>
        <v>86.255314625850346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IFERROR(__xludf.DUMMYFUNCTION("IMPORTRANGE(""https://docs.google.com/spreadsheets/d/1ItG2mGa2ceCfYo0BwxsXqNm01IGEUdYcSSLTEv9YCik/edit?usp=sharing"",""เบิกจ่ายกองทุน!AA18"")"),470400)</f>
        <v>470400</v>
      </c>
      <c r="R765" s="224">
        <f ca="1">IFERROR(__xludf.DUMMYFUNCTION("IMPORTRANGE(""https://docs.google.com/spreadsheets/d/1ItG2mGa2ceCfYo0BwxsXqNm01IGEUdYcSSLTEv9YCik/edit?usp=sharing"",""เบิกจ่ายกองทุน!AB18"")"),470400)</f>
        <v>470400</v>
      </c>
      <c r="S765" s="224">
        <f ca="1">IFERROR(__xludf.DUMMYFUNCTION("IMPORTRANGE(""https://docs.google.com/spreadsheets/d/1ItG2mGa2ceCfYo0BwxsXqNm01IGEUdYcSSLTEv9YCik/edit?usp=sharing"",""เบิกจ่ายกองทุน!AC18"")"),405745)</f>
        <v>405745</v>
      </c>
      <c r="T765" s="224">
        <f ca="1">IF(Q765&gt;0,S765*100/Q765,0)</f>
        <v>86.255314625850346</v>
      </c>
      <c r="U765" s="224">
        <f ca="1">IF(R765&gt;0,S765*100/R765,0)</f>
        <v>86.255314625850346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IFERROR(__xludf.DUMMYFUNCTION("IMPORTRANGE(""https://docs.google.com/spreadsheets/d/1eHaY18a8A9IcSdp1K8H6x8fbOy06t2VsZHhMHf-1x7Y/edit?usp=sharing"",""แผน!FI18"")"),1)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IFERROR(__xludf.DUMMYFUNCTION("IMPORTRANGE(""https://docs.google.com/spreadsheets/d/1eHaY18a8A9IcSdp1K8H6x8fbOy06t2VsZHhMHf-1x7Y/edit?usp=sharing"",""แผน!FQ18"")"),70)</f>
        <v>70</v>
      </c>
      <c r="J772" s="380">
        <v>70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IFERROR(__xludf.DUMMYFUNCTION("IMPORTRANGE(""https://docs.google.com/spreadsheets/d/1eHaY18a8A9IcSdp1K8H6x8fbOy06t2VsZHhMHf-1x7Y/edit?usp=sharing"",""แผน!FR18"")"),140)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IFERROR(__xludf.DUMMYFUNCTION("IMPORTRANGE(""https://docs.google.com/spreadsheets/d/1eHaY18a8A9IcSdp1K8H6x8fbOy06t2VsZHhMHf-1x7Y/edit?usp=sharing"",""แผน!FS18"")"),140)</f>
        <v>140</v>
      </c>
      <c r="J775" s="380">
        <v>140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IFERROR(__xludf.DUMMYFUNCTION("IMPORTRANGE(""https://docs.google.com/spreadsheets/d/1eHaY18a8A9IcSdp1K8H6x8fbOy06t2VsZHhMHf-1x7Y/edit?usp=sharing"",""แผน!FT18"")"),70)</f>
        <v>70</v>
      </c>
      <c r="J776" s="542">
        <v>70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IFERROR(__xludf.DUMMYFUNCTION("IMPORTRANGE(""https://docs.google.com/spreadsheets/d/10OvvATaaLtwErnr3qtWFcTmtbfpFEt5Bsqel9sXx0uE/edit?usp=sharing"",""งานกองทุน!D18"")"),1350000)</f>
        <v>1350000</v>
      </c>
      <c r="J778" s="184">
        <f ca="1">IFERROR(__xludf.DUMMYFUNCTION("IMPORTRANGE(""https://docs.google.com/spreadsheets/d/10OvvATaaLtwErnr3qtWFcTmtbfpFEt5Bsqel9sXx0uE/edit?usp=sharing"",""งานกองทุน!F18"")"),1554753.98)</f>
        <v>1554753.98</v>
      </c>
      <c r="K778" s="224">
        <f ca="1">IF(I778&gt;0,J778*100/I778,0)</f>
        <v>115.16696148148148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IFERROR(__xludf.DUMMYFUNCTION("IMPORTRANGE(""https://docs.google.com/spreadsheets/d/10OvvATaaLtwErnr3qtWFcTmtbfpFEt5Bsqel9sXx0uE/edit?usp=sharing"",""งานกองทุน!C18"")"),69)</f>
        <v>69</v>
      </c>
      <c r="J779" s="184">
        <f ca="1">IFERROR(__xludf.DUMMYFUNCTION("IMPORTRANGE(""https://docs.google.com/spreadsheets/d/10OvvATaaLtwErnr3qtWFcTmtbfpFEt5Bsqel9sXx0uE/edit?usp=sharing"",""งานกองทุน!E18"")"),108)</f>
        <v>108</v>
      </c>
      <c r="K779" s="224">
        <f ca="1">IF(I779&gt;0,J779*100/I779,0)</f>
        <v>156.52173913043478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184">
        <f ca="1">IFERROR(__xludf.DUMMYFUNCTION("IMPORTRANGE(""https://docs.google.com/spreadsheets/d/10OvvATaaLtwErnr3qtWFcTmtbfpFEt5Bsqel9sXx0uE/edit?usp=sharing"",""งานกองทุน!K18"")"),177290.62)</f>
        <v>177290.62</v>
      </c>
      <c r="K780" s="224">
        <f ca="1">IF(I780&gt;0,J780*100/I780,0)</f>
        <v>3.8041994060414308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IFERROR(__xludf.DUMMYFUNCTION("IMPORTRANGE(""https://docs.google.com/spreadsheets/d/10OvvATaaLtwErnr3qtWFcTmtbfpFEt5Bsqel9sXx0uE/edit?usp=sharing"",""งานกองทุน!H18"")"),254)</f>
        <v>254</v>
      </c>
      <c r="J781" s="184">
        <f ca="1">IFERROR(__xludf.DUMMYFUNCTION("IMPORTRANGE(""https://docs.google.com/spreadsheets/d/10OvvATaaLtwErnr3qtWFcTmtbfpFEt5Bsqel9sXx0uE/edit?usp=sharing"",""งานกองทุน!J18"")"),29)</f>
        <v>29</v>
      </c>
      <c r="K781" s="224">
        <f ca="1">IF(I781&gt;0,J781*100/I781,0)</f>
        <v>11.417322834645669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184">
        <f ca="1">IFERROR(__xludf.DUMMYFUNCTION("IMPORTRANGE(""https://docs.google.com/spreadsheets/d/10OvvATaaLtwErnr3qtWFcTmtbfpFEt5Bsqel9sXx0uE/edit?usp=sharing"",""งานกองทุน!P18"")"),13022950.88)</f>
        <v>13022950.880000001</v>
      </c>
      <c r="K782" s="224">
        <f ca="1">IF(I782&gt;0,J782*100/I782,0)</f>
        <v>36.728633207456554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IFERROR(__xludf.DUMMYFUNCTION("IMPORTRANGE(""https://docs.google.com/spreadsheets/d/10OvvATaaLtwErnr3qtWFcTmtbfpFEt5Bsqel9sXx0uE/edit?usp=sharing"",""งานกองทุน!M18"")"),2710)</f>
        <v>2710</v>
      </c>
      <c r="J783" s="184">
        <f ca="1">IFERROR(__xludf.DUMMYFUNCTION("IMPORTRANGE(""https://docs.google.com/spreadsheets/d/10OvvATaaLtwErnr3qtWFcTmtbfpFEt5Bsqel9sXx0uE/edit?usp=sharing"",""งานกองทุน!O18"")"),490)</f>
        <v>490</v>
      </c>
      <c r="K783" s="224">
        <f ca="1">IF(I783&gt;0,J783*100/I783,0)</f>
        <v>18.081180811808117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IFERROR(__xludf.DUMMYFUNCTION("IMPORTRANGE(""https://docs.google.com/spreadsheets/d/10OvvATaaLtwErnr3qtWFcTmtbfpFEt5Bsqel9sXx0uE/edit?usp=sharing"",""งานกองทุน!S18"")"),3724000)</f>
        <v>3724000</v>
      </c>
      <c r="J784" s="184">
        <f ca="1">IFERROR(__xludf.DUMMYFUNCTION("IMPORTRANGE(""https://docs.google.com/spreadsheets/d/10OvvATaaLtwErnr3qtWFcTmtbfpFEt5Bsqel9sXx0uE/edit?usp=sharing"",""งานกองทุน!U18"")"),3724000)</f>
        <v>3724000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IFERROR(__xludf.DUMMYFUNCTION("IMPORTRANGE(""https://docs.google.com/spreadsheets/d/10OvvATaaLtwErnr3qtWFcTmtbfpFEt5Bsqel9sXx0uE/edit?usp=sharing"",""งานกองทุน!R18"")"),133)</f>
        <v>133</v>
      </c>
      <c r="J785" s="188">
        <f ca="1">IFERROR(__xludf.DUMMYFUNCTION("IMPORTRANGE(""https://docs.google.com/spreadsheets/d/10OvvATaaLtwErnr3qtWFcTmtbfpFEt5Bsqel9sXx0uE/edit?usp=sharing"",""งานกองทุน!T18"")"),187)</f>
        <v>187</v>
      </c>
      <c r="K785" s="508">
        <f ca="1">IF(I785&gt;0,J785*100/I785,0)</f>
        <v>140.6015037593985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773BB-DB2E-4D6E-A847-9B90B0CBD32C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3.85546875" bestFit="1" customWidth="1"/>
    <col min="14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329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25761476</v>
      </c>
      <c r="M18" s="755">
        <f ca="1">M19+M20</f>
        <v>26521144</v>
      </c>
      <c r="N18" s="755">
        <f ca="1">N19+N20</f>
        <v>4154173.55</v>
      </c>
      <c r="O18" s="755">
        <f ca="1">IF(L18&gt;0,N18*100/L18,0)</f>
        <v>16.125526153858576</v>
      </c>
      <c r="P18" s="755">
        <f ca="1">IF(M18&gt;0,N18*100/M18,0)</f>
        <v>15.663628801231198</v>
      </c>
      <c r="Q18" s="755">
        <f ca="1">Q19+Q20</f>
        <v>5838873.3900000006</v>
      </c>
      <c r="R18" s="755">
        <f ca="1">R19+R20</f>
        <v>5818073</v>
      </c>
      <c r="S18" s="755">
        <f ca="1">S19+S20</f>
        <v>1707930.87</v>
      </c>
      <c r="T18" s="755">
        <f ca="1">IF(Q18&gt;0,S18*100/Q18,0)</f>
        <v>29.251034504791683</v>
      </c>
      <c r="U18" s="755">
        <f ca="1">IF(R18&gt;0,S18*100/R18,0)</f>
        <v>29.355610869784549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25761476</v>
      </c>
      <c r="M20" s="794">
        <f ca="1">M23+M26</f>
        <v>26521144</v>
      </c>
      <c r="N20" s="794">
        <f ca="1">N23+N26</f>
        <v>4154173.55</v>
      </c>
      <c r="O20" s="794">
        <f ca="1">IF(L20&gt;0,N20*100/L20,0)</f>
        <v>16.125526153858576</v>
      </c>
      <c r="P20" s="794">
        <f ca="1">IF(M20&gt;0,N20*100/M20,0)</f>
        <v>15.663628801231198</v>
      </c>
      <c r="Q20" s="794">
        <f ca="1">Q23+Q26</f>
        <v>5838873.3900000006</v>
      </c>
      <c r="R20" s="794">
        <f ca="1">R23+R26</f>
        <v>5818073</v>
      </c>
      <c r="S20" s="794">
        <f ca="1">S23+S26</f>
        <v>1707930.87</v>
      </c>
      <c r="T20" s="794">
        <f ca="1">IF(Q20&gt;0,S20*100/Q20,0)</f>
        <v>29.251034504791683</v>
      </c>
      <c r="U20" s="794">
        <f ca="1">IF(R20&gt;0,S20*100/R20,0)</f>
        <v>29.355610869784549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4704776</v>
      </c>
      <c r="M21" s="224">
        <f ca="1">M22+M23</f>
        <v>5464444</v>
      </c>
      <c r="N21" s="224">
        <f ca="1">N22+N23</f>
        <v>3821673.55</v>
      </c>
      <c r="O21" s="224">
        <f ca="1">IF(L21&gt;0,N21*100/L21,0)</f>
        <v>81.229660030573186</v>
      </c>
      <c r="P21" s="224">
        <f ca="1">IF(M21&gt;0,N21*100/M21,0)</f>
        <v>69.937097900536628</v>
      </c>
      <c r="Q21" s="224">
        <f ca="1">Q22+Q23</f>
        <v>3257873.39</v>
      </c>
      <c r="R21" s="224">
        <f ca="1">R22+R23</f>
        <v>3237073</v>
      </c>
      <c r="S21" s="224">
        <f ca="1">S22+S23</f>
        <v>1707930.87</v>
      </c>
      <c r="T21" s="224">
        <f ca="1">IF(Q21&gt;0,S21*100/Q21,0)</f>
        <v>52.424715927956917</v>
      </c>
      <c r="U21" s="224">
        <f ca="1">IF(R21&gt;0,S21*100/R21,0)</f>
        <v>52.761580291825361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4704776</v>
      </c>
      <c r="M23" s="224">
        <f ca="1">M49+M64+M77+M99+M122+M144+M162+M191+M178+M271+M287+M308+M325+M338+M361+M380+M418+M498+M518+M539+M560+M581+M604+M621+M647+M695+M719+M733+M765</f>
        <v>5464444</v>
      </c>
      <c r="N23" s="224">
        <f ca="1">N49+N64+N77+N99+N122+N144+N162+N191+N178+N271+N287+N308+N325+N338+N361+N380+N418+N498+N518+N539+N560+N581+N604+N621+N647+N695+N719+N733+N765</f>
        <v>3821673.55</v>
      </c>
      <c r="O23" s="224">
        <f ca="1">IF(L23&gt;0,N23*100/L23,0)</f>
        <v>81.229660030573186</v>
      </c>
      <c r="P23" s="224">
        <f ca="1">IF(M23&gt;0,N23*100/M23,0)</f>
        <v>69.937097900536628</v>
      </c>
      <c r="Q23" s="224">
        <f ca="1">Q77+Q99+Q122+Q144+Q162+Q178+Q191+Q271+Q287+Q308+Q338+Q380+Q397+Q418+Q498+Q604+Q621+Q647+Q695+Q719+Q733+Q765</f>
        <v>3257873.39</v>
      </c>
      <c r="R23" s="224">
        <f ca="1">R77+R99+R122+R144+R162+R178+R191+R271+R287+R308+R338+R380+R397+R418+R498+R604+R621+R647+R695+R719+R733+R765</f>
        <v>3237073</v>
      </c>
      <c r="S23" s="224">
        <f ca="1">S77+S99+S122+S144+S162+S178+S191+S271+S287+S308+S338+S380+S397+S418+S498+S604+S621+S647+S695+S719+S733+S765</f>
        <v>1707930.87</v>
      </c>
      <c r="T23" s="224">
        <f ca="1">IF(Q23&gt;0,S23*100/Q23,0)</f>
        <v>52.424715927956917</v>
      </c>
      <c r="U23" s="224">
        <f ca="1">IF(R23&gt;0,S23*100/R23,0)</f>
        <v>52.761580291825361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21056700</v>
      </c>
      <c r="M24" s="224">
        <f ca="1">M25+M26</f>
        <v>21056700</v>
      </c>
      <c r="N24" s="224">
        <f ca="1">N25+N26</f>
        <v>332500</v>
      </c>
      <c r="O24" s="224">
        <f ca="1">IF(L24&gt;0,N24*100/L24,0)</f>
        <v>1.5790698447525016</v>
      </c>
      <c r="P24" s="224">
        <f ca="1">IF(M24&gt;0,N24*100/M24,0)</f>
        <v>1.5790698447525016</v>
      </c>
      <c r="Q24" s="224">
        <f ca="1">Q25+Q26</f>
        <v>2581000</v>
      </c>
      <c r="R24" s="224">
        <f ca="1">R25+R26</f>
        <v>2581000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21056700</v>
      </c>
      <c r="M26" s="224">
        <f ca="1">M52+M67+M80+M102+M125+M147+M165+M194+M181+M274+M290+M311+M328+M341+M364+M383+M421+M501+M521+M542+M563+M584+M607+M624+M650+M698+M722+M736+M768</f>
        <v>21056700</v>
      </c>
      <c r="N26" s="224">
        <f ca="1">N52+N67+N80+N102+N125+N147+N165+N194+N181+N274+N290+N311+N328+N341+N364+N383+N421+N501+N521+N542+N563+N584+N607+N624+N650+N698+N722+N736+N768</f>
        <v>332500</v>
      </c>
      <c r="O26" s="224">
        <f ca="1">IF(L26&gt;0,N26*100/L26,0)</f>
        <v>1.5790698447525016</v>
      </c>
      <c r="P26" s="224">
        <f ca="1">IF(M26&gt;0,N26*100/M26,0)</f>
        <v>1.5790698447525016</v>
      </c>
      <c r="Q26" s="83">
        <f ca="1">Q80+Q102+Q125+Q147+Q165+Q181+Q194+Q274+Q290+Q311+Q341+Q383+Q400+Q421+Q501+Q607+Q624+Q650+Q698+Q722+Q736+Q768</f>
        <v>2581000</v>
      </c>
      <c r="R26" s="83">
        <f ca="1">R80+R102+R125+R147+R165+R181+R194+R274+R290+R311+R341+R383+R400+R421+R501+R607+R624+R650+R698+R722+R736+R768</f>
        <v>2581000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17827600</v>
      </c>
      <c r="M40" s="790">
        <f ca="1">M44+M59+M72+M94+M125+M139+M157+M173+M186+M266+M282+M303+M320+M333+M356</f>
        <v>18584868</v>
      </c>
      <c r="N40" s="790">
        <f ca="1">N44+N59+N72+N94+N125+N139+N157+N173+N186+N266+N282+N303+N320+N333+N356</f>
        <v>4002030.55</v>
      </c>
      <c r="O40" s="790">
        <f ca="1">IF(L40&gt;0,N40*100/L40,0)</f>
        <v>22.448509894769906</v>
      </c>
      <c r="P40" s="790">
        <f ca="1">IF(M40&gt;0,N40*100/M40,0)</f>
        <v>21.533812077653714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595700</v>
      </c>
      <c r="M44" s="784">
        <f ca="1">M45+M46</f>
        <v>872298</v>
      </c>
      <c r="N44" s="784">
        <f ca="1">N45+N46</f>
        <v>796748</v>
      </c>
      <c r="O44" s="784">
        <f ca="1">IF(L44&gt;0,N44*100/L44,0)</f>
        <v>133.74987409770017</v>
      </c>
      <c r="P44" s="784">
        <f ca="1">IF(M44&gt;0,N44*100/M44,0)</f>
        <v>91.338969022054386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595700</v>
      </c>
      <c r="M46" s="778">
        <f ca="1">M49+M52</f>
        <v>872298</v>
      </c>
      <c r="N46" s="778">
        <f ca="1">N49+N52</f>
        <v>796748</v>
      </c>
      <c r="O46" s="778">
        <f ca="1">IF(L46&gt;0,N46*100/L46,0)</f>
        <v>133.74987409770017</v>
      </c>
      <c r="P46" s="778">
        <f ca="1">IF(M46&gt;0,N46*100/M46,0)</f>
        <v>91.338969022054386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595700</v>
      </c>
      <c r="M47" s="224">
        <f ca="1">M48+M49</f>
        <v>872298</v>
      </c>
      <c r="N47" s="224">
        <f ca="1">N48+N49</f>
        <v>796748</v>
      </c>
      <c r="O47" s="224">
        <f ca="1">IF(L47&gt;0,N47*100/L47,0)</f>
        <v>133.74987409770017</v>
      </c>
      <c r="P47" s="224">
        <f ca="1">IF(M47&gt;0,N47*100/M47,0)</f>
        <v>91.338969022054386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IFERROR(__xludf.DUMMYFUNCTION("IMPORTRANGE(""https://docs.google.com/spreadsheets/d/1-uDff_7J0KD5mKrp0Vvzr7lt3OU09vwQwhkpOPPYv2Y/edit?usp=sharing"",""งบพรบ!P19"")"),595700)</f>
        <v>595700</v>
      </c>
      <c r="M49" s="224">
        <f ca="1">IFERROR(__xludf.DUMMYFUNCTION("IMPORTRANGE(""https://docs.google.com/spreadsheets/d/1-uDff_7J0KD5mKrp0Vvzr7lt3OU09vwQwhkpOPPYv2Y/edit?usp=sharing"",""งบพรบ!V19"")"),872298)</f>
        <v>872298</v>
      </c>
      <c r="N49" s="224">
        <f ca="1">IFERROR(__xludf.DUMMYFUNCTION("IMPORTRANGE(""https://docs.google.com/spreadsheets/d/1-uDff_7J0KD5mKrp0Vvzr7lt3OU09vwQwhkpOPPYv2Y/edit?usp=sharing"",""งบพรบ!Y19"")"),796748)</f>
        <v>796748</v>
      </c>
      <c r="O49" s="224">
        <f ca="1">IF(L49&gt;0,N49*100/L49,0)</f>
        <v>133.74987409770017</v>
      </c>
      <c r="P49" s="224">
        <f ca="1">IF(M49&gt;0,N49*100/M49,0)</f>
        <v>91.338969022054386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IFERROR(__xludf.DUMMYFUNCTION("IMPORTRANGE(""https://docs.google.com/spreadsheets/d/1-uDff_7J0KD5mKrp0Vvzr7lt3OU09vwQwhkpOPPYv2Y/edit?usp=sharing"",""งบพรบ!S19"")"),0)</f>
        <v>0</v>
      </c>
      <c r="M52" s="224">
        <f ca="1">IFERROR(__xludf.DUMMYFUNCTION("IMPORTRANGE(""https://docs.google.com/spreadsheets/d/1-uDff_7J0KD5mKrp0Vvzr7lt3OU09vwQwhkpOPPYv2Y/edit?usp=sharing"",""งบพรบ!W19"")"),0)</f>
        <v>0</v>
      </c>
      <c r="N52" s="224">
        <f ca="1">IFERROR(__xludf.DUMMYFUNCTION("IMPORTRANGE(""https://docs.google.com/spreadsheets/d/1-uDff_7J0KD5mKrp0Vvzr7lt3OU09vwQwhkpOPPYv2Y/edit?usp=sharing"",""งบพรบ!Z19"")"),0)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15003500</v>
      </c>
      <c r="M59" s="772">
        <f ca="1">M60+M61</f>
        <v>15043500</v>
      </c>
      <c r="N59" s="772">
        <f ca="1">N60+N61</f>
        <v>995309.4</v>
      </c>
      <c r="O59" s="772">
        <f ca="1">IF(L59&gt;0,N59*100/L59,0)</f>
        <v>6.6338481021095079</v>
      </c>
      <c r="P59" s="772">
        <f ca="1">IF(M59&gt;0,N59*100/M59,0)</f>
        <v>6.6162089939176392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15003500</v>
      </c>
      <c r="M61" s="766">
        <f ca="1">M64+M67</f>
        <v>15043500</v>
      </c>
      <c r="N61" s="766">
        <f ca="1">N64+N67</f>
        <v>995309.4</v>
      </c>
      <c r="O61" s="766">
        <f ca="1">IF(L61&gt;0,N61*100/L61,0)</f>
        <v>6.6338481021095079</v>
      </c>
      <c r="P61" s="766">
        <f ca="1">IF(M61&gt;0,N61*100/M61,0)</f>
        <v>6.6162089939176392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750800</v>
      </c>
      <c r="M62" s="224">
        <f ca="1">M63+M64</f>
        <v>790800</v>
      </c>
      <c r="N62" s="224">
        <f ca="1">N63+N64</f>
        <v>662809.4</v>
      </c>
      <c r="O62" s="224">
        <f ca="1">IF(L62&gt;0,N62*100/L62,0)</f>
        <v>88.280420884389983</v>
      </c>
      <c r="P62" s="224">
        <f ca="1">IF(M62&gt;0,N62*100/M62,0)</f>
        <v>83.815048052604951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IFERROR(__xludf.DUMMYFUNCTION("IMPORTRANGE(""https://docs.google.com/spreadsheets/d/1-uDff_7J0KD5mKrp0Vvzr7lt3OU09vwQwhkpOPPYv2Y/edit?usp=sharing"",""งบพรบ!AC19"")"),750800)</f>
        <v>750800</v>
      </c>
      <c r="M64" s="224">
        <f ca="1">IFERROR(__xludf.DUMMYFUNCTION("IMPORTRANGE(""https://docs.google.com/spreadsheets/d/1-uDff_7J0KD5mKrp0Vvzr7lt3OU09vwQwhkpOPPYv2Y/edit?usp=sharing"",""งบพรบ!AH19"")"),790800)</f>
        <v>790800</v>
      </c>
      <c r="N64" s="224">
        <f ca="1">IFERROR(__xludf.DUMMYFUNCTION("IMPORTRANGE(""https://docs.google.com/spreadsheets/d/1-uDff_7J0KD5mKrp0Vvzr7lt3OU09vwQwhkpOPPYv2Y/edit?usp=sharing"",""งบพรบ!AJ19"")"),662809.4)</f>
        <v>662809.4</v>
      </c>
      <c r="O64" s="224">
        <f ca="1">IF(L64&gt;0,N64*100/L64,0)</f>
        <v>88.280420884389983</v>
      </c>
      <c r="P64" s="224">
        <f ca="1">IF(M64&gt;0,N64*100/M64,0)</f>
        <v>83.815048052604951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14252700</v>
      </c>
      <c r="M65" s="224">
        <f ca="1">M66+M67</f>
        <v>14252700</v>
      </c>
      <c r="N65" s="224">
        <f ca="1">N66+N67</f>
        <v>332500</v>
      </c>
      <c r="O65" s="224">
        <f ca="1">IF(L65&gt;0,N65*100/L65,0)</f>
        <v>2.3328913118216197</v>
      </c>
      <c r="P65" s="224">
        <f ca="1">IF(M65&gt;0,N65*100/M65,0)</f>
        <v>2.3328913118216197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IFERROR(__xludf.DUMMYFUNCTION("IMPORTRANGE(""https://docs.google.com/spreadsheets/d/1-uDff_7J0KD5mKrp0Vvzr7lt3OU09vwQwhkpOPPYv2Y/edit?usp=sharing"",""งบพรบ!AF19"")"),14252700)</f>
        <v>14252700</v>
      </c>
      <c r="M67" s="508">
        <f ca="1">IFERROR(__xludf.DUMMYFUNCTION("IMPORTRANGE(""https://docs.google.com/spreadsheets/d/1-uDff_7J0KD5mKrp0Vvzr7lt3OU09vwQwhkpOPPYv2Y/edit?usp=sharing"",""งบพรบ!AI19"")"),14252700)</f>
        <v>14252700</v>
      </c>
      <c r="N67" s="508">
        <f ca="1">IFERROR(__xludf.DUMMYFUNCTION("IMPORTRANGE(""https://docs.google.com/spreadsheets/d/1-uDff_7J0KD5mKrp0Vvzr7lt3OU09vwQwhkpOPPYv2Y/edit?usp=sharing"",""งบพรบ!AK19"")"),332500)</f>
        <v>332500</v>
      </c>
      <c r="O67" s="508">
        <f ca="1">IF(L67&gt;0,N67*100/L67,0)</f>
        <v>2.3328913118216197</v>
      </c>
      <c r="P67" s="508">
        <f ca="1">IF(M67&gt;0,N67*100/M67,0)</f>
        <v>2.3328913118216197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1</v>
      </c>
      <c r="J70" s="756">
        <f>J82</f>
        <v>1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40</v>
      </c>
      <c r="J71" s="756">
        <f>J83</f>
        <v>40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142000</v>
      </c>
      <c r="M72" s="547">
        <f ca="1">M73+M74</f>
        <v>142000</v>
      </c>
      <c r="N72" s="547">
        <f ca="1">N73+N74</f>
        <v>98345</v>
      </c>
      <c r="O72" s="547">
        <f ca="1">IF(L72&gt;0,N72*100/L72,0)</f>
        <v>69.257042253521121</v>
      </c>
      <c r="P72" s="547">
        <f ca="1">IF(M72&gt;0,N72*100/M72,0)</f>
        <v>69.257042253521121</v>
      </c>
      <c r="Q72" s="547">
        <f ca="1">Q73+Q74</f>
        <v>447900</v>
      </c>
      <c r="R72" s="547">
        <f ca="1">R73+R74</f>
        <v>447900</v>
      </c>
      <c r="S72" s="547">
        <f ca="1">S73+S74</f>
        <v>184630</v>
      </c>
      <c r="T72" s="547">
        <f ca="1">IF(Q72&gt;0,S72*100/Q72,0)</f>
        <v>41.221254744362582</v>
      </c>
      <c r="U72" s="547">
        <f ca="1">IF(R72&gt;0,S72*100/R72,0)</f>
        <v>41.221254744362582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142000</v>
      </c>
      <c r="M74" s="224">
        <f ca="1">M77+M80</f>
        <v>142000</v>
      </c>
      <c r="N74" s="224">
        <f ca="1">N77+N80</f>
        <v>98345</v>
      </c>
      <c r="O74" s="224">
        <f ca="1">IF(L74&gt;0,N74*100/L74,0)</f>
        <v>69.257042253521121</v>
      </c>
      <c r="P74" s="224">
        <f ca="1">IF(M74&gt;0,N74*100/M74,0)</f>
        <v>69.257042253521121</v>
      </c>
      <c r="Q74" s="224">
        <f ca="1">Q77+Q80</f>
        <v>447900</v>
      </c>
      <c r="R74" s="224">
        <f ca="1">R77+R80</f>
        <v>447900</v>
      </c>
      <c r="S74" s="224">
        <f ca="1">S77+S80</f>
        <v>184630</v>
      </c>
      <c r="T74" s="224">
        <f ca="1">IF(Q74&gt;0,S74*100/Q74,0)</f>
        <v>41.221254744362582</v>
      </c>
      <c r="U74" s="224">
        <f ca="1">IF(R74&gt;0,S74*100/R74,0)</f>
        <v>41.221254744362582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142000</v>
      </c>
      <c r="M75" s="224">
        <f ca="1">M76+M77</f>
        <v>142000</v>
      </c>
      <c r="N75" s="224">
        <f ca="1">N76+N77</f>
        <v>98345</v>
      </c>
      <c r="O75" s="224">
        <f ca="1">IF(L75&gt;0,N75*100/L75,0)</f>
        <v>69.257042253521121</v>
      </c>
      <c r="P75" s="224">
        <f ca="1">IF(M75&gt;0,N75*100/M75,0)</f>
        <v>69.257042253521121</v>
      </c>
      <c r="Q75" s="224">
        <f ca="1">Q76+Q77</f>
        <v>447900</v>
      </c>
      <c r="R75" s="224">
        <f ca="1">R76+R77</f>
        <v>447900</v>
      </c>
      <c r="S75" s="224">
        <f ca="1">S76+S77</f>
        <v>184630</v>
      </c>
      <c r="T75" s="224">
        <f ca="1">IF(Q75&gt;0,S75*100/Q75,0)</f>
        <v>41.221254744362582</v>
      </c>
      <c r="U75" s="224">
        <f ca="1">IF(R75&gt;0,S75*100/R75,0)</f>
        <v>41.221254744362582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IFERROR(__xludf.DUMMYFUNCTION("IMPORTRANGE(""https://docs.google.com/spreadsheets/d/1-uDff_7J0KD5mKrp0Vvzr7lt3OU09vwQwhkpOPPYv2Y/edit?usp=sharing"",""งบพรบ!AM19"")"),142000)</f>
        <v>142000</v>
      </c>
      <c r="M77" s="224">
        <f ca="1">IFERROR(__xludf.DUMMYFUNCTION("IMPORTRANGE(""https://docs.google.com/spreadsheets/d/1-uDff_7J0KD5mKrp0Vvzr7lt3OU09vwQwhkpOPPYv2Y/edit?usp=sharing"",""งบพรบ!AR19"")"),142000)</f>
        <v>142000</v>
      </c>
      <c r="N77" s="224">
        <f ca="1">IFERROR(__xludf.DUMMYFUNCTION("IMPORTRANGE(""https://docs.google.com/spreadsheets/d/1-uDff_7J0KD5mKrp0Vvzr7lt3OU09vwQwhkpOPPYv2Y/edit?usp=sharing"",""งบพรบ!AT19"")"),98345)</f>
        <v>98345</v>
      </c>
      <c r="O77" s="224">
        <f ca="1">IF(L77&gt;0,N77*100/L77,0)</f>
        <v>69.257042253521121</v>
      </c>
      <c r="P77" s="224">
        <f ca="1">IF(M77&gt;0,N77*100/M77,0)</f>
        <v>69.257042253521121</v>
      </c>
      <c r="Q77" s="224">
        <f ca="1">IFERROR(__xludf.DUMMYFUNCTION("IMPORTRANGE(""https://docs.google.com/spreadsheets/d/1ItG2mGa2ceCfYo0BwxsXqNm01IGEUdYcSSLTEv9YCik/edit?usp=sharing"",""เบิกจ่ายกองทุน!BH19"")"),447900)</f>
        <v>447900</v>
      </c>
      <c r="R77" s="224">
        <f ca="1">IFERROR(__xludf.DUMMYFUNCTION("IMPORTRANGE(""https://docs.google.com/spreadsheets/d/1ItG2mGa2ceCfYo0BwxsXqNm01IGEUdYcSSLTEv9YCik/edit?usp=sharing"",""เบิกจ่ายกองทุน!BI19"")"),447900)</f>
        <v>447900</v>
      </c>
      <c r="S77" s="224">
        <f ca="1">IFERROR(__xludf.DUMMYFUNCTION("IMPORTRANGE(""https://docs.google.com/spreadsheets/d/1ItG2mGa2ceCfYo0BwxsXqNm01IGEUdYcSSLTEv9YCik/edit?usp=sharing"",""เบิกจ่ายกองทุน!BJ19"")"),184630)</f>
        <v>184630</v>
      </c>
      <c r="T77" s="224">
        <f ca="1">IF(Q77&gt;0,S77*100/Q77,0)</f>
        <v>41.221254744362582</v>
      </c>
      <c r="U77" s="224">
        <f ca="1">IF(R77&gt;0,S77*100/R77,0)</f>
        <v>41.221254744362582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IFERROR(__xludf.DUMMYFUNCTION("IMPORTRANGE(""https://docs.google.com/spreadsheets/d/1-uDff_7J0KD5mKrp0Vvzr7lt3OU09vwQwhkpOPPYv2Y/edit?usp=sharing"",""งบพรบ!AP19"")"),0)</f>
        <v>0</v>
      </c>
      <c r="M80" s="224">
        <f ca="1">IFERROR(__xludf.DUMMYFUNCTION("IMPORTRANGE(""https://docs.google.com/spreadsheets/d/1-uDff_7J0KD5mKrp0Vvzr7lt3OU09vwQwhkpOPPYv2Y/edit?usp=sharing"",""งบพรบ!AS19"")"),0)</f>
        <v>0</v>
      </c>
      <c r="N80" s="224">
        <f ca="1">IFERROR(__xludf.DUMMYFUNCTION("IMPORTRANGE(""https://docs.google.com/spreadsheets/d/1-uDff_7J0KD5mKrp0Vvzr7lt3OU09vwQwhkpOPPYv2Y/edit?usp=sharing"",""งบพรบ!AU19"")"),0)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IFERROR(__xludf.DUMMYFUNCTION("IMPORTRANGE(""https://docs.google.com/spreadsheets/d/1ItG2mGa2ceCfYo0BwxsXqNm01IGEUdYcSSLTEv9YCik/edit?usp=sharing"",""เบิกจ่ายกองทุน!BK19"")"),0)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IFERROR(__xludf.DUMMYFUNCTION("IMPORTRANGE(""https://docs.google.com/spreadsheets/d/1ItG2mGa2ceCfYo0BwxsXqNm01IGEUdYcSSLTEv9YCik/edit?usp=sharing"",""เบิกจ่ายกองทุน!BL19"")"),0)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IFERROR(__xludf.DUMMYFUNCTION("IMPORTRANGE(""https://docs.google.com/spreadsheets/d/1ItG2mGa2ceCfYo0BwxsXqNm01IGEUdYcSSLTEv9YCik/edit?usp=sharing"",""เบิกจ่ายกองทุน!BM19"")"),0)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1</v>
      </c>
      <c r="J82" s="338">
        <f>J84+J86+J88</f>
        <v>1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40</v>
      </c>
      <c r="J83" s="338">
        <f>J85+J87+J89</f>
        <v>40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IFERROR(__xludf.DUMMYFUNCTION("IMPORTRANGE(""https://docs.google.com/spreadsheets/d/1eHaY18a8A9IcSdp1K8H6x8fbOy06t2VsZHhMHf-1x7Y/edit?usp=sharing"",""แผน!H19"")"),0)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IFERROR(__xludf.DUMMYFUNCTION("IMPORTRANGE(""https://docs.google.com/spreadsheets/d/1eHaY18a8A9IcSdp1K8H6x8fbOy06t2VsZHhMHf-1x7Y/edit?usp=sharing"",""แผน!I19"")"),0)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IFERROR(__xludf.DUMMYFUNCTION("IMPORTRANGE(""https://docs.google.com/spreadsheets/d/1eHaY18a8A9IcSdp1K8H6x8fbOy06t2VsZHhMHf-1x7Y/edit?usp=sharing"",""แผน!F19"")"),1)</f>
        <v>1</v>
      </c>
      <c r="J86" s="380">
        <v>1</v>
      </c>
      <c r="K86" s="569">
        <f ca="1">IF(I86&gt;0,J86*100/I86,0)</f>
        <v>100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IFERROR(__xludf.DUMMYFUNCTION("IMPORTRANGE(""https://docs.google.com/spreadsheets/d/1eHaY18a8A9IcSdp1K8H6x8fbOy06t2VsZHhMHf-1x7Y/edit?usp=sharing"",""แผน!G19"")"),40)</f>
        <v>40</v>
      </c>
      <c r="J87" s="380">
        <v>40</v>
      </c>
      <c r="K87" s="569">
        <f ca="1">IF(I87&gt;0,J87*100/I87,0)</f>
        <v>100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IFERROR(__xludf.DUMMYFUNCTION("IMPORTRANGE(""https://docs.google.com/spreadsheets/d/1eHaY18a8A9IcSdp1K8H6x8fbOy06t2VsZHhMHf-1x7Y/edit?usp=sharing"",""แผน!D19"")"),0)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IFERROR(__xludf.DUMMYFUNCTION("IMPORTRANGE(""https://docs.google.com/spreadsheets/d/1eHaY18a8A9IcSdp1K8H6x8fbOy06t2VsZHhMHf-1x7Y/edit?usp=sharing"",""แผน!E19"")"),0)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IFERROR(__xludf.DUMMYFUNCTION("IMPORTRANGE(""https://docs.google.com/spreadsheets/d/1eHaY18a8A9IcSdp1K8H6x8fbOy06t2VsZHhMHf-1x7Y/edit?usp=sharing"",""แผน!J19"")"),1)</f>
        <v>1</v>
      </c>
      <c r="J90" s="380">
        <v>1</v>
      </c>
      <c r="K90" s="569">
        <f ca="1">IF(I90&gt;0,J90*100/I90,0)</f>
        <v>100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60</v>
      </c>
      <c r="J92" s="756">
        <f>J108</f>
        <v>60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20</v>
      </c>
      <c r="J93" s="756">
        <f>J109</f>
        <v>20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51000</v>
      </c>
      <c r="M94" s="547">
        <f ca="1">M95+M96</f>
        <v>51000</v>
      </c>
      <c r="N94" s="547">
        <f ca="1">N95+N96</f>
        <v>51000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129840</v>
      </c>
      <c r="R94" s="547">
        <f ca="1">R95+R96</f>
        <v>129840</v>
      </c>
      <c r="S94" s="547">
        <f ca="1">S95+S96</f>
        <v>45320</v>
      </c>
      <c r="T94" s="547">
        <f ca="1">IF(Q94&gt;0,S94*100/Q94,0)</f>
        <v>34.904497843499691</v>
      </c>
      <c r="U94" s="547">
        <f ca="1">IF(R94&gt;0,S94*100/R94,0)</f>
        <v>34.904497843499691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51000</v>
      </c>
      <c r="M96" s="224">
        <f ca="1">M99+M102</f>
        <v>51000</v>
      </c>
      <c r="N96" s="224">
        <f ca="1">N99+N102</f>
        <v>51000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129840</v>
      </c>
      <c r="R96" s="224">
        <f ca="1">R99+R102</f>
        <v>129840</v>
      </c>
      <c r="S96" s="224">
        <f ca="1">S99+S102</f>
        <v>45320</v>
      </c>
      <c r="T96" s="224">
        <f ca="1">IF(Q96&gt;0,S96*100/Q96,0)</f>
        <v>34.904497843499691</v>
      </c>
      <c r="U96" s="224">
        <f ca="1">IF(R96&gt;0,S96*100/R96,0)</f>
        <v>34.904497843499691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51000</v>
      </c>
      <c r="M97" s="224">
        <f ca="1">M98+M99</f>
        <v>51000</v>
      </c>
      <c r="N97" s="224">
        <f ca="1">N98+N99</f>
        <v>51000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129840</v>
      </c>
      <c r="R97" s="224">
        <f ca="1">R98+R99</f>
        <v>129840</v>
      </c>
      <c r="S97" s="224">
        <f ca="1">S98+S99</f>
        <v>45320</v>
      </c>
      <c r="T97" s="224">
        <f ca="1">IF(Q97&gt;0,S97*100/Q97,0)</f>
        <v>34.904497843499691</v>
      </c>
      <c r="U97" s="224">
        <f ca="1">IF(R97&gt;0,S97*100/R97,0)</f>
        <v>34.904497843499691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IFERROR(__xludf.DUMMYFUNCTION("IMPORTRANGE(""https://docs.google.com/spreadsheets/d/1-uDff_7J0KD5mKrp0Vvzr7lt3OU09vwQwhkpOPPYv2Y/edit?usp=sharing"",""งบพรบ!AW19"")"),51000)</f>
        <v>51000</v>
      </c>
      <c r="M99" s="224">
        <f ca="1">IFERROR(__xludf.DUMMYFUNCTION("IMPORTRANGE(""https://docs.google.com/spreadsheets/d/1-uDff_7J0KD5mKrp0Vvzr7lt3OU09vwQwhkpOPPYv2Y/edit?usp=sharing"",""งบพรบ!BB19"")"),51000)</f>
        <v>51000</v>
      </c>
      <c r="N99" s="224">
        <f ca="1">IFERROR(__xludf.DUMMYFUNCTION("IMPORTRANGE(""https://docs.google.com/spreadsheets/d/1-uDff_7J0KD5mKrp0Vvzr7lt3OU09vwQwhkpOPPYv2Y/edit?usp=sharing"",""งบพรบ!BD19"")"),51000)</f>
        <v>51000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IFERROR(__xludf.DUMMYFUNCTION("IMPORTRANGE(""https://docs.google.com/spreadsheets/d/1ItG2mGa2ceCfYo0BwxsXqNm01IGEUdYcSSLTEv9YCik/edit?usp=sharing"",""เบิกจ่ายกองทุน!AJ19"")"),129840)</f>
        <v>129840</v>
      </c>
      <c r="R99" s="224">
        <f ca="1">IFERROR(__xludf.DUMMYFUNCTION("IMPORTRANGE(""https://docs.google.com/spreadsheets/d/1ItG2mGa2ceCfYo0BwxsXqNm01IGEUdYcSSLTEv9YCik/edit?usp=sharing"",""เบิกจ่ายกองทุน!AK19"")"),129840)</f>
        <v>129840</v>
      </c>
      <c r="S99" s="224">
        <f ca="1">IFERROR(__xludf.DUMMYFUNCTION("IMPORTRANGE(""https://docs.google.com/spreadsheets/d/1ItG2mGa2ceCfYo0BwxsXqNm01IGEUdYcSSLTEv9YCik/edit?usp=sharing"",""เบิกจ่ายกองทุน!AL19"")"),45320)</f>
        <v>45320</v>
      </c>
      <c r="T99" s="224">
        <f ca="1">IF(Q99&gt;0,S99*100/Q99,0)</f>
        <v>34.904497843499691</v>
      </c>
      <c r="U99" s="224">
        <f ca="1">IF(R99&gt;0,S99*100/R99,0)</f>
        <v>34.904497843499691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IFERROR(__xludf.DUMMYFUNCTION("IMPORTRANGE(""https://docs.google.com/spreadsheets/d/1-uDff_7J0KD5mKrp0Vvzr7lt3OU09vwQwhkpOPPYv2Y/edit?usp=sharing"",""งบพรบ!AZ19"")"),0)</f>
        <v>0</v>
      </c>
      <c r="M102" s="224">
        <f ca="1">IFERROR(__xludf.DUMMYFUNCTION("IMPORTRANGE(""https://docs.google.com/spreadsheets/d/1-uDff_7J0KD5mKrp0Vvzr7lt3OU09vwQwhkpOPPYv2Y/edit?usp=sharing"",""งบพรบ!BC19"")"),0)</f>
        <v>0</v>
      </c>
      <c r="N102" s="224">
        <f ca="1">IFERROR(__xludf.DUMMYFUNCTION("IMPORTRANGE(""https://docs.google.com/spreadsheets/d/1-uDff_7J0KD5mKrp0Vvzr7lt3OU09vwQwhkpOPPYv2Y/edit?usp=sharing"",""งบพรบ!BE19"")"),0)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IFERROR(__xludf.DUMMYFUNCTION("IMPORTRANGE(""https://docs.google.com/spreadsheets/d/1eHaY18a8A9IcSdp1K8H6x8fbOy06t2VsZHhMHf-1x7Y/edit?usp=sharing"",""แผน!N19"")"),60)</f>
        <v>60</v>
      </c>
      <c r="J108" s="380">
        <v>60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IFERROR(__xludf.DUMMYFUNCTION("IMPORTRANGE(""https://docs.google.com/spreadsheets/d/1eHaY18a8A9IcSdp1K8H6x8fbOy06t2VsZHhMHf-1x7Y/edit?usp=sharing"",""แผน!O19"")"),20)</f>
        <v>20</v>
      </c>
      <c r="J109" s="380">
        <v>20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IFERROR(__xludf.DUMMYFUNCTION("IMPORTRANGE(""https://docs.google.com/spreadsheets/d/1eHaY18a8A9IcSdp1K8H6x8fbOy06t2VsZHhMHf-1x7Y/edit?usp=sharing"",""แผน!N19"")"),60)</f>
        <v>60</v>
      </c>
      <c r="J113" s="377">
        <v>60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IFERROR(__xludf.DUMMYFUNCTION("IMPORTRANGE(""https://docs.google.com/spreadsheets/d/1eHaY18a8A9IcSdp1K8H6x8fbOy06t2VsZHhMHf-1x7Y/edit?usp=sharing"",""แผน!O19"")"),20)</f>
        <v>20</v>
      </c>
      <c r="J114" s="380">
        <v>20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50</v>
      </c>
      <c r="J116" s="756">
        <f>J127</f>
        <v>50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30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2605520</v>
      </c>
      <c r="R117" s="547">
        <f ca="1">R118+R119</f>
        <v>2605520</v>
      </c>
      <c r="S117" s="547">
        <f ca="1">S118+S119</f>
        <v>263735.87</v>
      </c>
      <c r="T117" s="547">
        <f ca="1">IF(Q117&gt;0,S117*100/Q117,0)</f>
        <v>10.122197104608677</v>
      </c>
      <c r="U117" s="547">
        <f ca="1">IF(R117&gt;0,S117*100/R117,0)</f>
        <v>10.122197104608677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2605520</v>
      </c>
      <c r="R119" s="224">
        <f ca="1">R122+R125</f>
        <v>2605520</v>
      </c>
      <c r="S119" s="224">
        <f ca="1">S122+S125</f>
        <v>263735.87</v>
      </c>
      <c r="T119" s="224">
        <f ca="1">IF(Q119&gt;0,S119*100/Q119,0)</f>
        <v>10.122197104608677</v>
      </c>
      <c r="U119" s="224">
        <f ca="1">IF(R119&gt;0,S119*100/R119,0)</f>
        <v>10.122197104608677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263735.87</v>
      </c>
      <c r="T120" s="224">
        <f ca="1">IF(Q120&gt;0,S120*100/Q120,0)</f>
        <v>92.695019682271891</v>
      </c>
      <c r="U120" s="224">
        <f ca="1">IF(R120&gt;0,S120*100/R120,0)</f>
        <v>92.695019682271891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IFERROR(__xludf.DUMMYFUNCTION("IMPORTRANGE(""https://docs.google.com/spreadsheets/d/1-uDff_7J0KD5mKrp0Vvzr7lt3OU09vwQwhkpOPPYv2Y/edit?usp=sharing"",""งบพรบ!BG19"")"),0)</f>
        <v>0</v>
      </c>
      <c r="M122" s="224">
        <f ca="1">IFERROR(__xludf.DUMMYFUNCTION("IMPORTRANGE(""https://docs.google.com/spreadsheets/d/1-uDff_7J0KD5mKrp0Vvzr7lt3OU09vwQwhkpOPPYv2Y/edit?usp=sharing"",""งบพรบ!BL19"")"),0)</f>
        <v>0</v>
      </c>
      <c r="N122" s="224">
        <f ca="1">IFERROR(__xludf.DUMMYFUNCTION("IMPORTRANGE(""https://docs.google.com/spreadsheets/d/1-uDff_7J0KD5mKrp0Vvzr7lt3OU09vwQwhkpOPPYv2Y/edit?usp=sharing"",""งบพรบ!BN19"")"),0)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IFERROR(__xludf.DUMMYFUNCTION("IMPORTRANGE(""https://docs.google.com/spreadsheets/d/1ItG2mGa2ceCfYo0BwxsXqNm01IGEUdYcSSLTEv9YCik/edit?usp=sharing"",""เบิกจ่ายกองทุน!U19"")"),284520)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IFERROR(__xludf.DUMMYFUNCTION("IMPORTRANGE(""https://docs.google.com/spreadsheets/d/1ItG2mGa2ceCfYo0BwxsXqNm01IGEUdYcSSLTEv9YCik/edit?usp=sharing"",""เบิกจ่ายกองทุน!V19"")"),284520)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IFERROR(__xludf.DUMMYFUNCTION("IMPORTRANGE(""https://docs.google.com/spreadsheets/d/1ItG2mGa2ceCfYo0BwxsXqNm01IGEUdYcSSLTEv9YCik/edit?usp=sharing"",""เบิกจ่ายกองทุน!W19"")"),263735.87)</f>
        <v>263735.87</v>
      </c>
      <c r="T122" s="224">
        <f ca="1">IF(Q122&gt;0,S122*100/Q122,0)</f>
        <v>92.695019682271891</v>
      </c>
      <c r="U122" s="224">
        <f ca="1">IF(R122&gt;0,S122*100/R122,0)</f>
        <v>92.695019682271891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2321000</v>
      </c>
      <c r="R123" s="224">
        <f ca="1">R124+R125</f>
        <v>2321000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IFERROR(__xludf.DUMMYFUNCTION("IMPORTRANGE(""https://docs.google.com/spreadsheets/d/1-uDff_7J0KD5mKrp0Vvzr7lt3OU09vwQwhkpOPPYv2Y/edit?usp=sharing"",""งบพรบ!BJ19"")"),0)</f>
        <v>0</v>
      </c>
      <c r="M125" s="224">
        <f ca="1">IFERROR(__xludf.DUMMYFUNCTION("IMPORTRANGE(""https://docs.google.com/spreadsheets/d/1-uDff_7J0KD5mKrp0Vvzr7lt3OU09vwQwhkpOPPYv2Y/edit?usp=sharing"",""งบพรบ!BM19"")"),0)</f>
        <v>0</v>
      </c>
      <c r="N125" s="224">
        <f ca="1">IFERROR(__xludf.DUMMYFUNCTION("IMPORTRANGE(""https://docs.google.com/spreadsheets/d/1-uDff_7J0KD5mKrp0Vvzr7lt3OU09vwQwhkpOPPYv2Y/edit?usp=sharing"",""งบพรบ!BO19"")"),0)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IFERROR(__xludf.DUMMYFUNCTION("IMPORTRANGE(""https://docs.google.com/spreadsheets/d/1ItG2mGa2ceCfYo0BwxsXqNm01IGEUdYcSSLTEv9YCik/edit?usp=sharing"",""เบิกจ่ายกองทุน!X19"")"),2321000)</f>
        <v>2321000</v>
      </c>
      <c r="R125" s="224">
        <f ca="1">IFERROR(__xludf.DUMMYFUNCTION("IMPORTRANGE(""https://docs.google.com/spreadsheets/d/1ItG2mGa2ceCfYo0BwxsXqNm01IGEUdYcSSLTEv9YCik/edit?usp=sharing"",""เบิกจ่ายกองทุน!Y19"")"),2321000)</f>
        <v>2321000</v>
      </c>
      <c r="S125" s="224">
        <f ca="1">IFERROR(__xludf.DUMMYFUNCTION("IMPORTRANGE(""https://docs.google.com/spreadsheets/d/1ItG2mGa2ceCfYo0BwxsXqNm01IGEUdYcSSLTEv9YCik/edit?usp=sharing"",""เบิกจ่ายกองทุน!Z19"")"),0)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30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IFERROR(__xludf.DUMMYFUNCTION("IMPORTRANGE(""https://docs.google.com/spreadsheets/d/1eHaY18a8A9IcSdp1K8H6x8fbOy06t2VsZHhMHf-1x7Y/edit?usp=sharing"",""แผน!FF19"")"),50)</f>
        <v>50</v>
      </c>
      <c r="J127" s="380">
        <v>50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IFERROR(__xludf.DUMMYFUNCTION("IMPORTRANGE(""https://docs.google.com/spreadsheets/d/1eHaY18a8A9IcSdp1K8H6x8fbOy06t2VsZHhMHf-1x7Y/edit?usp=sharing"",""แผน!FG19"")"),2)</f>
        <v>2</v>
      </c>
      <c r="J128" s="380">
        <v>2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IFERROR(__xludf.DUMMYFUNCTION("IMPORTRANGE(""https://docs.google.com/spreadsheets/d/1eHaY18a8A9IcSdp1K8H6x8fbOy06t2VsZHhMHf-1x7Y/edit?usp=sharing"",""แผน!FH19"")"),20)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IFERROR(__xludf.DUMMYFUNCTION("IMPORTRANGE(""https://docs.google.com/spreadsheets/d/1eHaY18a8A9IcSdp1K8H6x8fbOy06t2VsZHhMHf-1x7Y/edit?usp=sharing"",""แผน!FI19"")"),1)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2</v>
      </c>
      <c r="K136" s="755">
        <f ca="1">IF(I136&gt;0,J136*100/I136,0)</f>
        <v>100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50</v>
      </c>
      <c r="J137" s="756">
        <f>J152</f>
        <v>50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5</v>
      </c>
      <c r="J138" s="756">
        <f>J153</f>
        <v>5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83100</v>
      </c>
      <c r="M139" s="547">
        <f ca="1">M140+M141</f>
        <v>78100</v>
      </c>
      <c r="N139" s="547">
        <f ca="1">N140+N141</f>
        <v>63782</v>
      </c>
      <c r="O139" s="547">
        <f ca="1">IF(L139&gt;0,N139*100/L139,0)</f>
        <v>76.753309265944651</v>
      </c>
      <c r="P139" s="547">
        <f ca="1">IF(M139&gt;0,N139*100/M139,0)</f>
        <v>81.66709346991037</v>
      </c>
      <c r="Q139" s="547">
        <f ca="1">Q140+Q141</f>
        <v>309860</v>
      </c>
      <c r="R139" s="547">
        <f ca="1">R140+R141</f>
        <v>309860</v>
      </c>
      <c r="S139" s="547">
        <f ca="1">S140+S141</f>
        <v>24460</v>
      </c>
      <c r="T139" s="547">
        <f ca="1">IF(Q139&gt;0,S139*100/Q139,0)</f>
        <v>7.8938875621248306</v>
      </c>
      <c r="U139" s="547">
        <f ca="1">IF(R139&gt;0,S139*100/R139,0)</f>
        <v>7.8938875621248306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83100</v>
      </c>
      <c r="M141" s="224">
        <f ca="1">M144+M147</f>
        <v>78100</v>
      </c>
      <c r="N141" s="224">
        <f ca="1">N144+N147</f>
        <v>63782</v>
      </c>
      <c r="O141" s="224">
        <f ca="1">IF(L141&gt;0,N141*100/L141,0)</f>
        <v>76.753309265944651</v>
      </c>
      <c r="P141" s="224">
        <f ca="1">IF(M141&gt;0,N141*100/M141,0)</f>
        <v>81.66709346991037</v>
      </c>
      <c r="Q141" s="224">
        <f ca="1">Q144+Q147</f>
        <v>309860</v>
      </c>
      <c r="R141" s="224">
        <f ca="1">R144+R147</f>
        <v>309860</v>
      </c>
      <c r="S141" s="224">
        <f ca="1">S144+S147</f>
        <v>24460</v>
      </c>
      <c r="T141" s="224">
        <f ca="1">IF(Q141&gt;0,S141*100/Q141,0)</f>
        <v>7.8938875621248306</v>
      </c>
      <c r="U141" s="224">
        <f ca="1">IF(R141&gt;0,S141*100/R141,0)</f>
        <v>7.8938875621248306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83100</v>
      </c>
      <c r="M142" s="224">
        <f ca="1">M143+M144</f>
        <v>78100</v>
      </c>
      <c r="N142" s="224">
        <f ca="1">N143+N144</f>
        <v>63782</v>
      </c>
      <c r="O142" s="224">
        <f ca="1">IF(L142&gt;0,N142*100/L142,0)</f>
        <v>76.753309265944651</v>
      </c>
      <c r="P142" s="224">
        <f ca="1">IF(M142&gt;0,N142*100/M142,0)</f>
        <v>81.66709346991037</v>
      </c>
      <c r="Q142" s="224">
        <f ca="1">Q143+Q144</f>
        <v>49860</v>
      </c>
      <c r="R142" s="224">
        <f ca="1">R143+R144</f>
        <v>49860</v>
      </c>
      <c r="S142" s="224">
        <f ca="1">S143+S144</f>
        <v>24460</v>
      </c>
      <c r="T142" s="224">
        <f ca="1">IF(Q142&gt;0,S142*100/Q142,0)</f>
        <v>49.057360609707182</v>
      </c>
      <c r="U142" s="224">
        <f ca="1">IF(R142&gt;0,S142*100/R142,0)</f>
        <v>49.057360609707182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IFERROR(__xludf.DUMMYFUNCTION("IMPORTRANGE(""https://docs.google.com/spreadsheets/d/1-uDff_7J0KD5mKrp0Vvzr7lt3OU09vwQwhkpOPPYv2Y/edit?usp=sharing"",""งบพรบ!BQ19"")"),83100)</f>
        <v>83100</v>
      </c>
      <c r="M144" s="224">
        <f ca="1">IFERROR(__xludf.DUMMYFUNCTION("IMPORTRANGE(""https://docs.google.com/spreadsheets/d/1-uDff_7J0KD5mKrp0Vvzr7lt3OU09vwQwhkpOPPYv2Y/edit?usp=sharing"",""งบพรบ!BV19"")"),78100)</f>
        <v>78100</v>
      </c>
      <c r="N144" s="224">
        <f ca="1">IFERROR(__xludf.DUMMYFUNCTION("IMPORTRANGE(""https://docs.google.com/spreadsheets/d/1-uDff_7J0KD5mKrp0Vvzr7lt3OU09vwQwhkpOPPYv2Y/edit?usp=sharing"",""งบพรบ!BX19"")"),63782)</f>
        <v>63782</v>
      </c>
      <c r="O144" s="224">
        <f ca="1">IF(L144&gt;0,N144*100/L144,0)</f>
        <v>76.753309265944651</v>
      </c>
      <c r="P144" s="224">
        <f ca="1">IF(M144&gt;0,N144*100/M144,0)</f>
        <v>81.66709346991037</v>
      </c>
      <c r="Q144" s="224">
        <f ca="1">IFERROR(__xludf.DUMMYFUNCTION("IMPORTRANGE(""https://docs.google.com/spreadsheets/d/1ItG2mGa2ceCfYo0BwxsXqNm01IGEUdYcSSLTEv9YCik/edit?usp=sharing"",""เบิกจ่ายกองทุน!CF19"")"),49860)</f>
        <v>49860</v>
      </c>
      <c r="R144" s="224">
        <f ca="1">IFERROR(__xludf.DUMMYFUNCTION("IMPORTRANGE(""https://docs.google.com/spreadsheets/d/1ItG2mGa2ceCfYo0BwxsXqNm01IGEUdYcSSLTEv9YCik/edit?usp=sharing"",""เบิกจ่ายกองทุน!CG19"")"),49860)</f>
        <v>49860</v>
      </c>
      <c r="S144" s="224">
        <f ca="1">IFERROR(__xludf.DUMMYFUNCTION("IMPORTRANGE(""https://docs.google.com/spreadsheets/d/1ItG2mGa2ceCfYo0BwxsXqNm01IGEUdYcSSLTEv9YCik/edit?usp=sharing"",""เบิกจ่ายกองทุน!CH19"")"),24460)</f>
        <v>24460</v>
      </c>
      <c r="T144" s="224">
        <f ca="1">IF(Q144&gt;0,S144*100/Q144,0)</f>
        <v>49.057360609707182</v>
      </c>
      <c r="U144" s="224">
        <f ca="1">IF(R144&gt;0,S144*100/R144,0)</f>
        <v>49.057360609707182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IFERROR(__xludf.DUMMYFUNCTION("IMPORTRANGE(""https://docs.google.com/spreadsheets/d/1-uDff_7J0KD5mKrp0Vvzr7lt3OU09vwQwhkpOPPYv2Y/edit?usp=sharing"",""งบพรบ!BT19"")"),0)</f>
        <v>0</v>
      </c>
      <c r="M147" s="224">
        <f ca="1">IFERROR(__xludf.DUMMYFUNCTION("IMPORTRANGE(""https://docs.google.com/spreadsheets/d/1-uDff_7J0KD5mKrp0Vvzr7lt3OU09vwQwhkpOPPYv2Y/edit?usp=sharing"",""งบพรบ!BW19"")"),0)</f>
        <v>0</v>
      </c>
      <c r="N147" s="224">
        <f ca="1">IFERROR(__xludf.DUMMYFUNCTION("IMPORTRANGE(""https://docs.google.com/spreadsheets/d/1-uDff_7J0KD5mKrp0Vvzr7lt3OU09vwQwhkpOPPYv2Y/edit?usp=sharing"",""งบพรบ!BY19"")"),0)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IFERROR(__xludf.DUMMYFUNCTION("IMPORTRANGE(""https://docs.google.com/spreadsheets/d/1ItG2mGa2ceCfYo0BwxsXqNm01IGEUdYcSSLTEv9YCik/edit?usp=sharing"",""เบิกจ่ายกองทุน!CI19"")"),260000)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IFERROR(__xludf.DUMMYFUNCTION("IMPORTRANGE(""https://docs.google.com/spreadsheets/d/1ItG2mGa2ceCfYo0BwxsXqNm01IGEUdYcSSLTEv9YCik/edit?usp=sharing"",""เบิกจ่ายกองทุน!CJ19"")"),260000)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IFERROR(__xludf.DUMMYFUNCTION("IMPORTRANGE(""https://docs.google.com/spreadsheets/d/1ItG2mGa2ceCfYo0BwxsXqNm01IGEUdYcSSLTEv9YCik/edit?usp=sharing"",""เบิกจ่ายกองทุน!CK19"")"),0)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IFERROR(__xludf.DUMMYFUNCTION("IMPORTRANGE(""https://docs.google.com/spreadsheets/d/1eHaY18a8A9IcSdp1K8H6x8fbOy06t2VsZHhMHf-1x7Y/edit?usp=sharing"",""แผน!U19"")"),20)</f>
        <v>20</v>
      </c>
      <c r="J150" s="380">
        <v>20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IFERROR(__xludf.DUMMYFUNCTION("IMPORTRANGE(""https://docs.google.com/spreadsheets/d/1eHaY18a8A9IcSdp1K8H6x8fbOy06t2VsZHhMHf-1x7Y/edit?usp=sharing"",""แผน!V19"")"),2)</f>
        <v>2</v>
      </c>
      <c r="J151" s="380">
        <v>2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IFERROR(__xludf.DUMMYFUNCTION("IMPORTRANGE(""https://docs.google.com/spreadsheets/d/1eHaY18a8A9IcSdp1K8H6x8fbOy06t2VsZHhMHf-1x7Y/edit?usp=sharing"",""แผน!W19"")"),50)</f>
        <v>50</v>
      </c>
      <c r="J152" s="380">
        <v>50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IFERROR(__xludf.DUMMYFUNCTION("IMPORTRANGE(""https://docs.google.com/spreadsheets/d/1eHaY18a8A9IcSdp1K8H6x8fbOy06t2VsZHhMHf-1x7Y/edit?usp=sharing"",""แผน!X19"")"),5)</f>
        <v>5</v>
      </c>
      <c r="J153" s="380">
        <v>5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IFERROR(__xludf.DUMMYFUNCTION("IMPORTRANGE(""https://docs.google.com/spreadsheets/d/1eHaY18a8A9IcSdp1K8H6x8fbOy06t2VsZHhMHf-1x7Y/edit?usp=sharing"",""แผน!Y19"")"),2)</f>
        <v>2</v>
      </c>
      <c r="J154" s="380">
        <v>2</v>
      </c>
      <c r="K154" s="224">
        <f ca="1">IF(I154&gt;0,J154*100/I154,0)</f>
        <v>100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2080</v>
      </c>
      <c r="N157" s="547">
        <f ca="1">N158+N159</f>
        <v>0</v>
      </c>
      <c r="O157" s="547">
        <f ca="1">IF(L157&gt;0,N157*100/L157,0)</f>
        <v>0</v>
      </c>
      <c r="P157" s="547">
        <f ca="1">IF(M157&gt;0,N157*100/M157,0)</f>
        <v>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2080</v>
      </c>
      <c r="N159" s="224">
        <f ca="1">N162+N165</f>
        <v>0</v>
      </c>
      <c r="O159" s="224">
        <f ca="1">IF(L159&gt;0,N159*100/L159,0)</f>
        <v>0</v>
      </c>
      <c r="P159" s="224">
        <f ca="1">IF(M159&gt;0,N159*100/M159,0)</f>
        <v>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2080</v>
      </c>
      <c r="N160" s="224">
        <f ca="1">N161+N162</f>
        <v>0</v>
      </c>
      <c r="O160" s="224">
        <f ca="1">IF(L160&gt;0,N160*100/L160,0)</f>
        <v>0</v>
      </c>
      <c r="P160" s="224">
        <f ca="1">IF(M160&gt;0,N160*100/M160,0)</f>
        <v>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IFERROR(__xludf.DUMMYFUNCTION("IMPORTRANGE(""https://docs.google.com/spreadsheets/d/1-uDff_7J0KD5mKrp0Vvzr7lt3OU09vwQwhkpOPPYv2Y/edit?usp=sharing"",""งบพรบ!CA19"")"),0)</f>
        <v>0</v>
      </c>
      <c r="M162" s="224">
        <f ca="1">IFERROR(__xludf.DUMMYFUNCTION("IMPORTRANGE(""https://docs.google.com/spreadsheets/d/1-uDff_7J0KD5mKrp0Vvzr7lt3OU09vwQwhkpOPPYv2Y/edit?usp=sharing"",""งบพรบ!CF19"")"),2080)</f>
        <v>2080</v>
      </c>
      <c r="N162" s="224">
        <f ca="1">IFERROR(__xludf.DUMMYFUNCTION("IMPORTRANGE(""https://docs.google.com/spreadsheets/d/1-uDff_7J0KD5mKrp0Vvzr7lt3OU09vwQwhkpOPPYv2Y/edit?usp=sharing"",""งบพรบ!CH19"")"),0)</f>
        <v>0</v>
      </c>
      <c r="O162" s="224">
        <f ca="1">IF(L162&gt;0,N162*100/L162,0)</f>
        <v>0</v>
      </c>
      <c r="P162" s="224">
        <f ca="1">IF(M162&gt;0,N162*100/M162,0)</f>
        <v>0</v>
      </c>
      <c r="Q162" s="224">
        <f ca="1">IFERROR(__xludf.DUMMYFUNCTION("IMPORTRANGE(""https://docs.google.com/spreadsheets/d/1ItG2mGa2ceCfYo0BwxsXqNm01IGEUdYcSSLTEv9YCik/edit?usp=sharing"",""เบิกจ่ายกองทุน!AM19"")"),0)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IFERROR(__xludf.DUMMYFUNCTION("IMPORTRANGE(""https://docs.google.com/spreadsheets/d/1ItG2mGa2ceCfYo0BwxsXqNm01IGEUdYcSSLTEv9YCik/edit?usp=sharing"",""เบิกจ่ายกองทุน!AN19"")"),0)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IFERROR(__xludf.DUMMYFUNCTION("IMPORTRANGE(""https://docs.google.com/spreadsheets/d/1ItG2mGa2ceCfYo0BwxsXqNm01IGEUdYcSSLTEv9YCik/edit?usp=sharing"",""เบิกจ่ายกองทุน!AO19"")"),0)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IFERROR(__xludf.DUMMYFUNCTION("IMPORTRANGE(""https://docs.google.com/spreadsheets/d/1-uDff_7J0KD5mKrp0Vvzr7lt3OU09vwQwhkpOPPYv2Y/edit?usp=sharing"",""งบพรบ!CD19"")"),0)</f>
        <v>0</v>
      </c>
      <c r="M165" s="224">
        <f ca="1">IFERROR(__xludf.DUMMYFUNCTION("IMPORTRANGE(""https://docs.google.com/spreadsheets/d/1-uDff_7J0KD5mKrp0Vvzr7lt3OU09vwQwhkpOPPYv2Y/edit?usp=sharing"",""งบพรบ!CG19"")"),0)</f>
        <v>0</v>
      </c>
      <c r="N165" s="224">
        <f ca="1">IFERROR(__xludf.DUMMYFUNCTION("IMPORTRANGE(""https://docs.google.com/spreadsheets/d/1-uDff_7J0KD5mKrp0Vvzr7lt3OU09vwQwhkpOPPYv2Y/edit?usp=sharing"",""งบพรบ!CI19"")"),0)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IFERROR(__xludf.DUMMYFUNCTION("IMPORTRANGE(""https://docs.google.com/spreadsheets/d/1eHaY18a8A9IcSdp1K8H6x8fbOy06t2VsZHhMHf-1x7Y/edit?usp=sharing"",""แผน!Z19"")"),0)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IFERROR(__xludf.DUMMYFUNCTION("IMPORTRANGE(""https://docs.google.com/spreadsheets/d/1eHaY18a8A9IcSdp1K8H6x8fbOy06t2VsZHhMHf-1x7Y/edit?usp=sharing"",""แผน!Z19"")"),0)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IFERROR(__xludf.DUMMYFUNCTION("IMPORTRANGE(""https://docs.google.com/spreadsheets/d/1eHaY18a8A9IcSdp1K8H6x8fbOy06t2VsZHhMHf-1x7Y/edit?usp=sharing"",""แผน!Z19"")"),0)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17</v>
      </c>
      <c r="J172" s="752">
        <f>J183+J184</f>
        <v>17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228195</v>
      </c>
      <c r="N173" s="547">
        <f ca="1">N174+N175</f>
        <v>207985</v>
      </c>
      <c r="O173" s="547">
        <f ca="1">IF(L173&gt;0,N173*100/L173,0)</f>
        <v>1061.6896375701888</v>
      </c>
      <c r="P173" s="547">
        <f ca="1">IF(M173&gt;0,N173*100/M173,0)</f>
        <v>91.143539516641468</v>
      </c>
      <c r="Q173" s="547">
        <f ca="1">Q174+Q175</f>
        <v>22960</v>
      </c>
      <c r="R173" s="547">
        <f ca="1">R174+R175</f>
        <v>22960</v>
      </c>
      <c r="S173" s="547">
        <f ca="1">S174+S175</f>
        <v>19360</v>
      </c>
      <c r="T173" s="547">
        <f ca="1">IF(Q173&gt;0,S173*100/Q173,0)</f>
        <v>84.320557491289193</v>
      </c>
      <c r="U173" s="547">
        <f ca="1">IF(R173&gt;0,S173*100/R173,0)</f>
        <v>84.320557491289193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228195</v>
      </c>
      <c r="N175" s="224">
        <f ca="1">N178+N181</f>
        <v>207985</v>
      </c>
      <c r="O175" s="224">
        <f ca="1">IF(L175&gt;0,N175*100/L175,0)</f>
        <v>1061.6896375701888</v>
      </c>
      <c r="P175" s="224">
        <f ca="1">IF(M175&gt;0,N175*100/M175,0)</f>
        <v>91.143539516641468</v>
      </c>
      <c r="Q175" s="224">
        <f ca="1">Q178+Q181</f>
        <v>22960</v>
      </c>
      <c r="R175" s="224">
        <f ca="1">R178+R181</f>
        <v>22960</v>
      </c>
      <c r="S175" s="224">
        <f ca="1">S178+S181</f>
        <v>19360</v>
      </c>
      <c r="T175" s="224">
        <f ca="1">IF(Q175&gt;0,S175*100/Q175,0)</f>
        <v>84.320557491289193</v>
      </c>
      <c r="U175" s="224">
        <f ca="1">IF(R175&gt;0,S175*100/R175,0)</f>
        <v>84.320557491289193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228195</v>
      </c>
      <c r="N176" s="224">
        <f ca="1">N177+N178</f>
        <v>207985</v>
      </c>
      <c r="O176" s="224">
        <f ca="1">IF(L176&gt;0,N176*100/L176,0)</f>
        <v>1061.6896375701888</v>
      </c>
      <c r="P176" s="224">
        <f ca="1">IF(M176&gt;0,N176*100/M176,0)</f>
        <v>91.143539516641468</v>
      </c>
      <c r="Q176" s="224">
        <f ca="1">Q177+Q178</f>
        <v>22960</v>
      </c>
      <c r="R176" s="224">
        <f ca="1">R177+R178</f>
        <v>22960</v>
      </c>
      <c r="S176" s="224">
        <f ca="1">S177+S178</f>
        <v>19360</v>
      </c>
      <c r="T176" s="224">
        <f ca="1">IF(Q176&gt;0,S176*100/Q176,0)</f>
        <v>84.320557491289193</v>
      </c>
      <c r="U176" s="224">
        <f ca="1">IF(R176&gt;0,S176*100/R176,0)</f>
        <v>84.320557491289193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IFERROR(__xludf.DUMMYFUNCTION("IMPORTRANGE(""https://docs.google.com/spreadsheets/d/1-uDff_7J0KD5mKrp0Vvzr7lt3OU09vwQwhkpOPPYv2Y/edit?usp=sharing"",""งบพรบ!CK19"")"),19590)</f>
        <v>19590</v>
      </c>
      <c r="M178" s="224">
        <f ca="1">IFERROR(__xludf.DUMMYFUNCTION("IMPORTRANGE(""https://docs.google.com/spreadsheets/d/1-uDff_7J0KD5mKrp0Vvzr7lt3OU09vwQwhkpOPPYv2Y/edit?usp=sharing"",""งบพรบ!CP19"")"),228195)</f>
        <v>228195</v>
      </c>
      <c r="N178" s="224">
        <f ca="1">IFERROR(__xludf.DUMMYFUNCTION("IMPORTRANGE(""https://docs.google.com/spreadsheets/d/1-uDff_7J0KD5mKrp0Vvzr7lt3OU09vwQwhkpOPPYv2Y/edit?usp=sharing"",""งบพรบ!CR19"")"),207985)</f>
        <v>207985</v>
      </c>
      <c r="O178" s="224">
        <f ca="1">IF(L178&gt;0,N178*100/L178,0)</f>
        <v>1061.6896375701888</v>
      </c>
      <c r="P178" s="224">
        <f ca="1">IF(M178&gt;0,N178*100/M178,0)</f>
        <v>91.143539516641468</v>
      </c>
      <c r="Q178" s="224">
        <f ca="1">IFERROR(__xludf.DUMMYFUNCTION("IMPORTRANGE(""https://docs.google.com/spreadsheets/d/1ItG2mGa2ceCfYo0BwxsXqNm01IGEUdYcSSLTEv9YCik/edit?usp=sharing"",""เบิกจ่ายกองทุน!DG19"")"),22960)</f>
        <v>22960</v>
      </c>
      <c r="R178" s="224">
        <f ca="1">IFERROR(__xludf.DUMMYFUNCTION("IMPORTRANGE(""https://docs.google.com/spreadsheets/d/1ItG2mGa2ceCfYo0BwxsXqNm01IGEUdYcSSLTEv9YCik/edit?usp=sharing"",""เบิกจ่ายกองทุน!DH19"")"),22960)</f>
        <v>22960</v>
      </c>
      <c r="S178" s="224">
        <f ca="1">IFERROR(__xludf.DUMMYFUNCTION("IMPORTRANGE(""https://docs.google.com/spreadsheets/d/1ItG2mGa2ceCfYo0BwxsXqNm01IGEUdYcSSLTEv9YCik/edit?usp=sharing"",""เบิกจ่ายกองทุน!DI19"")"),19360)</f>
        <v>19360</v>
      </c>
      <c r="T178" s="224">
        <f ca="1">IF(Q178&gt;0,S178*100/Q178,0)</f>
        <v>84.320557491289193</v>
      </c>
      <c r="U178" s="224">
        <f ca="1">IF(R178&gt;0,S178*100/R178,0)</f>
        <v>84.320557491289193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IFERROR(__xludf.DUMMYFUNCTION("IMPORTRANGE(""https://docs.google.com/spreadsheets/d/1-uDff_7J0KD5mKrp0Vvzr7lt3OU09vwQwhkpOPPYv2Y/edit?usp=sharing"",""งบพรบ!CN19"")"),0)</f>
        <v>0</v>
      </c>
      <c r="M181" s="224">
        <f ca="1">IFERROR(__xludf.DUMMYFUNCTION("IMPORTRANGE(""https://docs.google.com/spreadsheets/d/1-uDff_7J0KD5mKrp0Vvzr7lt3OU09vwQwhkpOPPYv2Y/edit?usp=sharing"",""งบพรบ!CQ19"")"),0)</f>
        <v>0</v>
      </c>
      <c r="N181" s="224">
        <f ca="1">IFERROR(__xludf.DUMMYFUNCTION("IMPORTRANGE(""https://docs.google.com/spreadsheets/d/1-uDff_7J0KD5mKrp0Vvzr7lt3OU09vwQwhkpOPPYv2Y/edit?usp=sharing"",""งบพรบ!CS19"")"),0)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IFERROR(__xludf.DUMMYFUNCTION("IMPORTRANGE(""https://docs.google.com/spreadsheets/d/1eHaY18a8A9IcSdp1K8H6x8fbOy06t2VsZHhMHf-1x7Y/edit?usp=sharing"",""แผน!AA19"")"),17)</f>
        <v>17</v>
      </c>
      <c r="J183" s="380">
        <v>17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160</v>
      </c>
      <c r="J185" s="752">
        <f>J230+J231</f>
        <v>160</v>
      </c>
      <c r="K185" s="751">
        <f ca="1">IF(I185&gt;0,J185*100/I185,0)</f>
        <v>100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530900</v>
      </c>
      <c r="M186" s="547">
        <f ca="1">M187+M188</f>
        <v>541100</v>
      </c>
      <c r="N186" s="547">
        <f ca="1">N187+N188</f>
        <v>444268</v>
      </c>
      <c r="O186" s="547">
        <f ca="1">IF(L186&gt;0,N186*100/L186,0)</f>
        <v>83.682049350160099</v>
      </c>
      <c r="P186" s="547">
        <f ca="1">IF(M186&gt;0,N186*100/M186,0)</f>
        <v>82.104601737201989</v>
      </c>
      <c r="Q186" s="547">
        <f ca="1">Q187+Q188</f>
        <v>212000</v>
      </c>
      <c r="R186" s="547">
        <f ca="1">R187+R188</f>
        <v>212000</v>
      </c>
      <c r="S186" s="547">
        <f ca="1">S187+S188</f>
        <v>212880</v>
      </c>
      <c r="T186" s="547">
        <f ca="1">IF(Q186&gt;0,S186*100/Q186,0)</f>
        <v>100.41509433962264</v>
      </c>
      <c r="U186" s="547">
        <f ca="1">IF(R186&gt;0,S186*100/R186,0)</f>
        <v>100.41509433962264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530900</v>
      </c>
      <c r="M188" s="224">
        <f ca="1">M191+M194</f>
        <v>541100</v>
      </c>
      <c r="N188" s="224">
        <f ca="1">N191+N194</f>
        <v>444268</v>
      </c>
      <c r="O188" s="224">
        <f ca="1">IF(L188&gt;0,N188*100/L188,0)</f>
        <v>83.682049350160099</v>
      </c>
      <c r="P188" s="224">
        <f ca="1">IF(M188&gt;0,N188*100/M188,0)</f>
        <v>82.104601737201989</v>
      </c>
      <c r="Q188" s="224">
        <f ca="1">Q191+Q194</f>
        <v>212000</v>
      </c>
      <c r="R188" s="224">
        <f ca="1">R191+R194</f>
        <v>212000</v>
      </c>
      <c r="S188" s="224">
        <f ca="1">S191+S194</f>
        <v>212880</v>
      </c>
      <c r="T188" s="224">
        <f ca="1">IF(Q188&gt;0,S188*100/Q188,0)</f>
        <v>100.41509433962264</v>
      </c>
      <c r="U188" s="224">
        <f ca="1">IF(R188&gt;0,S188*100/R188,0)</f>
        <v>100.41509433962264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530900</v>
      </c>
      <c r="M189" s="224">
        <f ca="1">M190+M191</f>
        <v>541100</v>
      </c>
      <c r="N189" s="224">
        <f ca="1">N190+N191</f>
        <v>444268</v>
      </c>
      <c r="O189" s="224">
        <f ca="1">IF(L189&gt;0,N189*100/L189,0)</f>
        <v>83.682049350160099</v>
      </c>
      <c r="P189" s="224">
        <f ca="1">IF(M189&gt;0,N189*100/M189,0)</f>
        <v>82.104601737201989</v>
      </c>
      <c r="Q189" s="224">
        <f ca="1">Q190+Q191</f>
        <v>212000</v>
      </c>
      <c r="R189" s="224">
        <f ca="1">R190+R191</f>
        <v>212000</v>
      </c>
      <c r="S189" s="224">
        <f ca="1">S190+S191</f>
        <v>212880</v>
      </c>
      <c r="T189" s="224">
        <f ca="1">IF(Q189&gt;0,S189*100/Q189,0)</f>
        <v>100.41509433962264</v>
      </c>
      <c r="U189" s="224">
        <f ca="1">IF(R189&gt;0,S189*100/R189,0)</f>
        <v>100.41509433962264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IFERROR(__xludf.DUMMYFUNCTION("IMPORTRANGE(""https://docs.google.com/spreadsheets/d/1-uDff_7J0KD5mKrp0Vvzr7lt3OU09vwQwhkpOPPYv2Y/edit?usp=sharing"",""งบพรบ!CU19"")"),530900)</f>
        <v>530900</v>
      </c>
      <c r="M191" s="224">
        <f ca="1">IFERROR(__xludf.DUMMYFUNCTION("IMPORTRANGE(""https://docs.google.com/spreadsheets/d/1-uDff_7J0KD5mKrp0Vvzr7lt3OU09vwQwhkpOPPYv2Y/edit?usp=sharing"",""งบพรบ!CZ19"")"),541100)</f>
        <v>541100</v>
      </c>
      <c r="N191" s="224">
        <f ca="1">IFERROR(__xludf.DUMMYFUNCTION("IMPORTRANGE(""https://docs.google.com/spreadsheets/d/1-uDff_7J0KD5mKrp0Vvzr7lt3OU09vwQwhkpOPPYv2Y/edit?usp=sharing"",""งบพรบ!DB19"")"),444268)</f>
        <v>444268</v>
      </c>
      <c r="O191" s="224">
        <f ca="1">IF(L191&gt;0,N191*100/L191,0)</f>
        <v>83.682049350160099</v>
      </c>
      <c r="P191" s="224">
        <f ca="1">IF(M191&gt;0,N191*100/M191,0)</f>
        <v>82.104601737201989</v>
      </c>
      <c r="Q191" s="224">
        <f ca="1">IFERROR(__xludf.DUMMYFUNCTION("IMPORTRANGE(""https://docs.google.com/spreadsheets/d/1ItG2mGa2ceCfYo0BwxsXqNm01IGEUdYcSSLTEv9YCik/edit?usp=sharing"",""เบิกจ่ายกองทุน!BQ19"")"),212000)</f>
        <v>212000</v>
      </c>
      <c r="R191" s="224">
        <f ca="1">IFERROR(__xludf.DUMMYFUNCTION("IMPORTRANGE(""https://docs.google.com/spreadsheets/d/1ItG2mGa2ceCfYo0BwxsXqNm01IGEUdYcSSLTEv9YCik/edit?usp=sharing"",""เบิกจ่ายกองทุน!BR19"")"),212000)</f>
        <v>212000</v>
      </c>
      <c r="S191" s="224">
        <f ca="1">IFERROR(__xludf.DUMMYFUNCTION("IMPORTRANGE(""https://docs.google.com/spreadsheets/d/1ItG2mGa2ceCfYo0BwxsXqNm01IGEUdYcSSLTEv9YCik/edit?usp=sharing"",""เบิกจ่ายกองทุน!BS19"")"),212880)</f>
        <v>212880</v>
      </c>
      <c r="T191" s="224">
        <f ca="1">IF(Q191&gt;0,S191*100/Q191,0)</f>
        <v>100.41509433962264</v>
      </c>
      <c r="U191" s="224">
        <f ca="1">IF(R191&gt;0,S191*100/R191,0)</f>
        <v>100.41509433962264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IFERROR(__xludf.DUMMYFUNCTION("IMPORTRANGE(""https://docs.google.com/spreadsheets/d/1-uDff_7J0KD5mKrp0Vvzr7lt3OU09vwQwhkpOPPYv2Y/edit?usp=sharing"",""งบพรบ!CX19"")"),0)</f>
        <v>0</v>
      </c>
      <c r="M194" s="224">
        <f ca="1">IFERROR(__xludf.DUMMYFUNCTION("IMPORTRANGE(""https://docs.google.com/spreadsheets/d/1-uDff_7J0KD5mKrp0Vvzr7lt3OU09vwQwhkpOPPYv2Y/edit?usp=sharing"",""งบพรบ!DA19"")"),0)</f>
        <v>0</v>
      </c>
      <c r="N194" s="224">
        <f ca="1">IFERROR(__xludf.DUMMYFUNCTION("IMPORTRANGE(""https://docs.google.com/spreadsheets/d/1-uDff_7J0KD5mKrp0Vvzr7lt3OU09vwQwhkpOPPYv2Y/edit?usp=sharing"",""งบพรบ!DC19"")"),0)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IFERROR(__xludf.DUMMYFUNCTION("IMPORTRANGE(""https://docs.google.com/spreadsheets/d/1ItG2mGa2ceCfYo0BwxsXqNm01IGEUdYcSSLTEv9YCik/edit?usp=sharing"",""เบิกจ่ายกองทุน!BT19"")"),0)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IFERROR(__xludf.DUMMYFUNCTION("IMPORTRANGE(""https://docs.google.com/spreadsheets/d/1ItG2mGa2ceCfYo0BwxsXqNm01IGEUdYcSSLTEv9YCik/edit?usp=sharing"",""เบิกจ่ายกองทุน!BU19"")"),0)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IFERROR(__xludf.DUMMYFUNCTION("IMPORTRANGE(""https://docs.google.com/spreadsheets/d/1ItG2mGa2ceCfYo0BwxsXqNm01IGEUdYcSSLTEv9YCik/edit?usp=sharing"",""เบิกจ่ายกองทุน!BV19"")"),0)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IFERROR(__xludf.DUMMYFUNCTION("IMPORTRANGE(""https://docs.google.com/spreadsheets/d/1eHaY18a8A9IcSdp1K8H6x8fbOy06t2VsZHhMHf-1x7Y/edit?usp=sharing"",""แผน!AB19"")"),6000)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IFERROR(__xludf.DUMMYFUNCTION("IMPORTRANGE(""https://docs.google.com/spreadsheets/d/1eHaY18a8A9IcSdp1K8H6x8fbOy06t2VsZHhMHf-1x7Y/edit?usp=sharing"",""แผน!AE19"")"),4)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234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234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4</v>
      </c>
      <c r="J202" s="302">
        <f>J209</f>
        <v>4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23000</v>
      </c>
      <c r="M203" s="45"/>
      <c r="N203" s="547">
        <f>N204+N205+N206+N207</f>
        <v>21440</v>
      </c>
      <c r="O203" s="547">
        <f ca="1">IF(L203&gt;0,N203*100/L203,0)</f>
        <v>93.217391304347828</v>
      </c>
      <c r="P203" s="547">
        <f>IF(M203&gt;0,N203*100/M203,0)</f>
        <v>0</v>
      </c>
      <c r="Q203" s="748">
        <f ca="1">Q204+Q205+Q206+Q207</f>
        <v>56000</v>
      </c>
      <c r="R203" s="314"/>
      <c r="S203" s="747">
        <f>S204+S205+S206+S207</f>
        <v>0</v>
      </c>
      <c r="T203" s="747">
        <f ca="1">IF(Q203&gt;0,S203*100/Q203,0)</f>
        <v>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IFERROR(__xludf.DUMMYFUNCTION("IMPORTRANGE(""https://docs.google.com/spreadsheets/d/1eHaY18a8A9IcSdp1K8H6x8fbOy06t2VsZHhMHf-1x7Y/edit?usp=sharing"",""แผน!AG19"")"),4000)</f>
        <v>4000</v>
      </c>
      <c r="M204" s="45"/>
      <c r="N204" s="737">
        <v>2440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IFERROR(__xludf.DUMMYFUNCTION("IMPORTRANGE(""https://docs.google.com/spreadsheets/d/1eHaY18a8A9IcSdp1K8H6x8fbOy06t2VsZHhMHf-1x7Y/edit?usp=sharing"",""แผน!AH19"")"),0)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IFERROR(__xludf.DUMMYFUNCTION("IMPORTRANGE(""https://docs.google.com/spreadsheets/d/1eHaY18a8A9IcSdp1K8H6x8fbOy06t2VsZHhMHf-1x7Y/edit?usp=sharing"",""แผน!AI19"")"),0)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IFERROR(__xludf.DUMMYFUNCTION("IMPORTRANGE(""https://docs.google.com/spreadsheets/d/1eHaY18a8A9IcSdp1K8H6x8fbOy06t2VsZHhMHf-1x7Y/edit?usp=sharing"",""แผน!LV19"")"),56000)</f>
        <v>56000</v>
      </c>
      <c r="R206" s="45"/>
      <c r="S206" s="737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IFERROR(__xludf.DUMMYFUNCTION("IMPORTRANGE(""https://docs.google.com/spreadsheets/d/1eHaY18a8A9IcSdp1K8H6x8fbOy06t2VsZHhMHf-1x7Y/edit?usp=sharing"",""แผน!AJ19"")"),19000)</f>
        <v>19000</v>
      </c>
      <c r="M207" s="45"/>
      <c r="N207" s="737">
        <v>19000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IFERROR(__xludf.DUMMYFUNCTION("IMPORTRANGE(""https://docs.google.com/spreadsheets/d/1eHaY18a8A9IcSdp1K8H6x8fbOy06t2VsZHhMHf-1x7Y/edit?usp=sharing"",""แผน!AK19"")"),4)</f>
        <v>4</v>
      </c>
      <c r="J209" s="380">
        <v>4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IFERROR(__xludf.DUMMYFUNCTION("IMPORTRANGE(""https://docs.google.com/spreadsheets/d/1eHaY18a8A9IcSdp1K8H6x8fbOy06t2VsZHhMHf-1x7Y/edit?usp=sharing"",""แผน!JX19"")"),4)</f>
        <v>4</v>
      </c>
      <c r="J211" s="380">
        <v>4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IFERROR(__xludf.DUMMYFUNCTION("IMPORTRANGE(""https://docs.google.com/spreadsheets/d/1eHaY18a8A9IcSdp1K8H6x8fbOy06t2VsZHhMHf-1x7Y/edit?usp=sharing"",""แผน!JY19"")"),1)</f>
        <v>1</v>
      </c>
      <c r="J212" s="380">
        <v>1</v>
      </c>
      <c r="K212" s="569">
        <f ca="1">IF(I212&gt;0,J212*100/I212,0)</f>
        <v>100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IFERROR(__xludf.DUMMYFUNCTION("IMPORTRANGE(""https://docs.google.com/spreadsheets/d/1eHaY18a8A9IcSdp1K8H6x8fbOy06t2VsZHhMHf-1x7Y/edit?usp=sharing"",""แผน!AM19"")"),0)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IFERROR(__xludf.DUMMYFUNCTION("IMPORTRANGE(""https://docs.google.com/spreadsheets/d/1eHaY18a8A9IcSdp1K8H6x8fbOy06t2VsZHhMHf-1x7Y/edit?usp=sharing"",""แผน!AN19"")"),0)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IFERROR(__xludf.DUMMYFUNCTION("IMPORTRANGE(""https://docs.google.com/spreadsheets/d/1eHaY18a8A9IcSdp1K8H6x8fbOy06t2VsZHhMHf-1x7Y/edit?usp=sharing"",""แผน!AO19"")"),0)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IFERROR(__xludf.DUMMYFUNCTION("IMPORTRANGE(""https://docs.google.com/spreadsheets/d/1eHaY18a8A9IcSdp1K8H6x8fbOy06t2VsZHhMHf-1x7Y/edit?usp=sharing"",""แผน!LY19"")"),0)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IFERROR(__xludf.DUMMYFUNCTION("IMPORTRANGE(""https://docs.google.com/spreadsheets/d/1eHaY18a8A9IcSdp1K8H6x8fbOy06t2VsZHhMHf-1x7Y/edit?usp=sharing"",""แผน!AP19"")"),0)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IFERROR(__xludf.DUMMYFUNCTION("IMPORTRANGE(""https://docs.google.com/spreadsheets/d/1eHaY18a8A9IcSdp1K8H6x8fbOy06t2VsZHhMHf-1x7Y/edit?usp=sharing"",""แผน!AP19"")"),0)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50000</v>
      </c>
      <c r="J221" s="302">
        <f>J229</f>
        <v>50000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8500</v>
      </c>
      <c r="M222" s="45"/>
      <c r="N222" s="547">
        <f>N223+N224+N225</f>
        <v>8500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IFERROR(__xludf.DUMMYFUNCTION("IMPORTRANGE(""https://docs.google.com/spreadsheets/d/1eHaY18a8A9IcSdp1K8H6x8fbOy06t2VsZHhMHf-1x7Y/edit?usp=sharing"",""แผน!AR19"")"),2500)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IFERROR(__xludf.DUMMYFUNCTION("IMPORTRANGE(""https://docs.google.com/spreadsheets/d/1eHaY18a8A9IcSdp1K8H6x8fbOy06t2VsZHhMHf-1x7Y/edit?usp=sharing"",""แผน!AS19"")"),6000)</f>
        <v>6000</v>
      </c>
      <c r="M224" s="45"/>
      <c r="N224" s="737">
        <v>6000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IFERROR(__xludf.DUMMYFUNCTION("IMPORTRANGE(""https://docs.google.com/spreadsheets/d/1eHaY18a8A9IcSdp1K8H6x8fbOy06t2VsZHhMHf-1x7Y/edit?usp=sharing"",""แผน!AT19"")"),0)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IFERROR(__xludf.DUMMYFUNCTION("IMPORTRANGE(""https://docs.google.com/spreadsheets/d/1eHaY18a8A9IcSdp1K8H6x8fbOy06t2VsZHhMHf-1x7Y/edit?usp=sharing"",""แผน!AV19"")"),50000)</f>
        <v>50000</v>
      </c>
      <c r="J228" s="380">
        <v>50000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IFERROR(__xludf.DUMMYFUNCTION("IMPORTRANGE(""https://docs.google.com/spreadsheets/d/1eHaY18a8A9IcSdp1K8H6x8fbOy06t2VsZHhMHf-1x7Y/edit?usp=sharing"",""แผน!AV19"")"),50000)</f>
        <v>50000</v>
      </c>
      <c r="J229" s="380">
        <v>50000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IFERROR(__xludf.DUMMYFUNCTION("IMPORTRANGE(""https://docs.google.com/spreadsheets/d/1eHaY18a8A9IcSdp1K8H6x8fbOy06t2VsZHhMHf-1x7Y/edit?usp=sharing"",""แผน!AU19"")"),0)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7"/>
      <c r="B231" s="856"/>
      <c r="C231" s="742" t="s">
        <v>105</v>
      </c>
      <c r="D231" s="855"/>
      <c r="E231" s="855"/>
      <c r="F231" s="855"/>
      <c r="G231" s="854"/>
      <c r="H231" s="741" t="s">
        <v>35</v>
      </c>
      <c r="I231" s="740">
        <f ca="1">I242+I253</f>
        <v>160</v>
      </c>
      <c r="J231" s="740">
        <f>J242+J253</f>
        <v>160</v>
      </c>
      <c r="K231" s="739">
        <f ca="1">IF(I231&gt;0,J231*100/I231,0)</f>
        <v>100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402400</v>
      </c>
      <c r="M232" s="45"/>
      <c r="N232" s="744">
        <f>N243+N254</f>
        <v>349541</v>
      </c>
      <c r="O232" s="45"/>
      <c r="P232" s="45"/>
      <c r="Q232" s="745">
        <f ca="1">Q243+Q254</f>
        <v>156000</v>
      </c>
      <c r="R232" s="45"/>
      <c r="S232" s="744">
        <f>S243+S254</f>
        <v>103280</v>
      </c>
      <c r="T232" s="45"/>
      <c r="U232" s="45"/>
    </row>
    <row r="233" spans="1:21" ht="18.75" hidden="1" x14ac:dyDescent="0.25">
      <c r="A233" s="711"/>
      <c r="B233" s="852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179000</v>
      </c>
      <c r="M233" s="45"/>
      <c r="N233" s="83">
        <f>N244+N255</f>
        <v>128141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3"/>
      <c r="B234" s="852"/>
      <c r="C234" s="852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8000</v>
      </c>
      <c r="M234" s="45"/>
      <c r="N234" s="83">
        <f>N245+N256</f>
        <v>6000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3"/>
      <c r="B235" s="852"/>
      <c r="C235" s="852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30400</v>
      </c>
      <c r="M235" s="45"/>
      <c r="N235" s="83">
        <f>N246+N257</f>
        <v>30400</v>
      </c>
      <c r="O235" s="45"/>
      <c r="P235" s="45"/>
      <c r="Q235" s="546">
        <f ca="1">Q246+Q257</f>
        <v>156000</v>
      </c>
      <c r="R235" s="45"/>
      <c r="S235" s="83">
        <f>S246+S257</f>
        <v>103280</v>
      </c>
      <c r="T235" s="45"/>
      <c r="U235" s="45"/>
    </row>
    <row r="236" spans="1:21" ht="18.75" hidden="1" x14ac:dyDescent="0.25">
      <c r="A236" s="853"/>
      <c r="B236" s="852"/>
      <c r="C236" s="852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185000</v>
      </c>
      <c r="M236" s="45"/>
      <c r="N236" s="83">
        <f>N247+N258</f>
        <v>185000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49"/>
      <c r="B237" s="848"/>
      <c r="C237" s="736" t="s">
        <v>18</v>
      </c>
      <c r="D237" s="591" t="s">
        <v>38</v>
      </c>
      <c r="E237" s="851"/>
      <c r="F237" s="851"/>
      <c r="G237" s="850"/>
      <c r="H237" s="846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49"/>
      <c r="B238" s="848"/>
      <c r="C238" s="848"/>
      <c r="D238" s="179" t="s">
        <v>108</v>
      </c>
      <c r="E238" s="847"/>
      <c r="F238" s="847"/>
      <c r="G238" s="846"/>
      <c r="H238" s="733" t="s">
        <v>35</v>
      </c>
      <c r="I238" s="485">
        <f ca="1">I249+I260</f>
        <v>160</v>
      </c>
      <c r="J238" s="485">
        <f>J249+J260</f>
        <v>160</v>
      </c>
      <c r="K238" s="83">
        <f ca="1">IF(I238&gt;0,J238*100/I238,0)</f>
        <v>100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49"/>
      <c r="B239" s="848"/>
      <c r="C239" s="848"/>
      <c r="D239" s="735" t="s">
        <v>43</v>
      </c>
      <c r="E239" s="847"/>
      <c r="F239" s="847"/>
      <c r="G239" s="846"/>
      <c r="H239" s="846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49"/>
      <c r="B240" s="848"/>
      <c r="C240" s="848"/>
      <c r="D240" s="848"/>
      <c r="E240" s="734" t="s">
        <v>109</v>
      </c>
      <c r="F240" s="847"/>
      <c r="G240" s="846"/>
      <c r="H240" s="733" t="s">
        <v>35</v>
      </c>
      <c r="I240" s="485">
        <f ca="1">I251+I262</f>
        <v>160</v>
      </c>
      <c r="J240" s="485">
        <f>J251+J262</f>
        <v>160</v>
      </c>
      <c r="K240" s="83">
        <f ca="1">IF(I240&gt;0,J240*100/I240,0)</f>
        <v>100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49"/>
      <c r="B241" s="848"/>
      <c r="C241" s="848"/>
      <c r="D241" s="848"/>
      <c r="E241" s="734" t="s">
        <v>110</v>
      </c>
      <c r="F241" s="847"/>
      <c r="G241" s="846"/>
      <c r="H241" s="733" t="s">
        <v>61</v>
      </c>
      <c r="I241" s="485">
        <f ca="1">I252+I263</f>
        <v>2</v>
      </c>
      <c r="J241" s="485">
        <f>J252+J263</f>
        <v>2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5"/>
      <c r="B242" s="844"/>
      <c r="C242" s="843" t="s">
        <v>328</v>
      </c>
      <c r="D242" s="842"/>
      <c r="E242" s="842"/>
      <c r="F242" s="842"/>
      <c r="G242" s="841"/>
      <c r="H242" s="840" t="s">
        <v>35</v>
      </c>
      <c r="I242" s="839">
        <f ca="1">I249</f>
        <v>40</v>
      </c>
      <c r="J242" s="839">
        <f>J249</f>
        <v>40</v>
      </c>
      <c r="K242" s="838">
        <f ca="1">IF(I242&gt;0,J242*100/I242,0)</f>
        <v>100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102400</v>
      </c>
      <c r="M243" s="45"/>
      <c r="N243" s="547">
        <f>N244+N245+N246+N247</f>
        <v>88820</v>
      </c>
      <c r="O243" s="547">
        <f ca="1">IF(L243&gt;0,N243*100/L243,0)</f>
        <v>86.73828125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IFERROR(__xludf.DUMMYFUNCTION("IMPORTRANGE(""https://docs.google.com/spreadsheets/d/1eHaY18a8A9IcSdp1K8H6x8fbOy06t2VsZHhMHf-1x7Y/edit?usp=sharing"",""แผน!AX19"")"),18000)</f>
        <v>18000</v>
      </c>
      <c r="M244" s="45"/>
      <c r="N244" s="737">
        <v>8420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658"/>
      <c r="B245" s="402"/>
      <c r="C245" s="402"/>
      <c r="D245" s="47" t="s">
        <v>326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IFERROR(__xludf.DUMMYFUNCTION("IMPORTRANGE(""https://docs.google.com/spreadsheets/d/1eHaY18a8A9IcSdp1K8H6x8fbOy06t2VsZHhMHf-1x7Y/edit?usp=sharing"",""แผน!dm19"")"),4000)</f>
        <v>4000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IFERROR(__xludf.DUMMYFUNCTION("IMPORTRANGE(""https://docs.google.com/spreadsheets/d/1eHaY18a8A9IcSdp1K8H6x8fbOy06t2VsZHhMHf-1x7Y/edit?usp=sharing"",""แผน!AZ19"")"),30400)</f>
        <v>30400</v>
      </c>
      <c r="M246" s="45"/>
      <c r="N246" s="737">
        <v>30400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IFERROR(__xludf.DUMMYFUNCTION("IMPORTRANGE(""https://docs.google.com/spreadsheets/d/1eHaY18a8A9IcSdp1K8H6x8fbOy06t2VsZHhMHf-1x7Y/edit?usp=sharing"",""แผน!BA19"")"),50000)</f>
        <v>50000</v>
      </c>
      <c r="M247" s="45"/>
      <c r="N247" s="737">
        <v>50000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6" t="s">
        <v>35</v>
      </c>
      <c r="I249" s="559">
        <f ca="1">IFERROR(__xludf.DUMMYFUNCTION("IMPORTRANGE(""https://docs.google.com/spreadsheets/d/1eHaY18a8A9IcSdp1K8H6x8fbOy06t2VsZHhMHf-1x7Y/edit?usp=sharing"",""แผน!BG19"")"),40)</f>
        <v>40</v>
      </c>
      <c r="J249" s="555">
        <v>40</v>
      </c>
      <c r="K249" s="558">
        <f ca="1">IF(I249&gt;0,J249*100/I249,0)</f>
        <v>100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7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6" t="s">
        <v>35</v>
      </c>
      <c r="I251" s="559">
        <f ca="1">IFERROR(__xludf.DUMMYFUNCTION("IMPORTRANGE(""https://docs.google.com/spreadsheets/d/1eHaY18a8A9IcSdp1K8H6x8fbOy06t2VsZHhMHf-1x7Y/edit?usp=sharing"",""แผน!kv19"")"),40)</f>
        <v>40</v>
      </c>
      <c r="J251" s="555">
        <v>40</v>
      </c>
      <c r="K251" s="558">
        <f ca="1">IF(I251&gt;0,J251*100/I251,0)</f>
        <v>100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6" t="s">
        <v>35</v>
      </c>
      <c r="I252" s="559">
        <f ca="1">IFERROR(__xludf.DUMMYFUNCTION("IMPORTRANGE(""https://docs.google.com/spreadsheets/d/1eHaY18a8A9IcSdp1K8H6x8fbOy06t2VsZHhMHf-1x7Y/edit?usp=sharing"",""แผน!kw19"")"),1)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845"/>
      <c r="B253" s="844"/>
      <c r="C253" s="843" t="s">
        <v>327</v>
      </c>
      <c r="D253" s="842"/>
      <c r="E253" s="842"/>
      <c r="F253" s="842"/>
      <c r="G253" s="841"/>
      <c r="H253" s="840" t="s">
        <v>35</v>
      </c>
      <c r="I253" s="839">
        <f ca="1">I260</f>
        <v>120</v>
      </c>
      <c r="J253" s="839">
        <f>J260</f>
        <v>120</v>
      </c>
      <c r="K253" s="838">
        <f ca="1">IF(I253&gt;0,J253*100/I253,0)</f>
        <v>100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401"/>
      <c r="B254" s="411"/>
      <c r="C254" s="374" t="s">
        <v>18</v>
      </c>
      <c r="D254" s="873" t="s">
        <v>19</v>
      </c>
      <c r="E254" s="411"/>
      <c r="F254" s="411"/>
      <c r="G254" s="412"/>
      <c r="H254" s="405" t="s">
        <v>14</v>
      </c>
      <c r="I254" s="416"/>
      <c r="J254" s="416"/>
      <c r="K254" s="417"/>
      <c r="L254" s="548">
        <f ca="1">L255+L256+L257+L258</f>
        <v>300000</v>
      </c>
      <c r="M254" s="45"/>
      <c r="N254" s="547">
        <f>N255+N256+N257+N258</f>
        <v>260721</v>
      </c>
      <c r="O254" s="547">
        <f ca="1">IF(L254&gt;0,N254*100/L254,0)</f>
        <v>86.906999999999996</v>
      </c>
      <c r="P254" s="547">
        <f>IF(M254&gt;0,N254*100/M254,0)</f>
        <v>0</v>
      </c>
      <c r="Q254" s="748">
        <f ca="1">Q255+Q256+Q257+Q258</f>
        <v>156000</v>
      </c>
      <c r="R254" s="314"/>
      <c r="S254" s="747">
        <f>S255+S256+S257+S258</f>
        <v>103280</v>
      </c>
      <c r="T254" s="747">
        <f ca="1">IF(Q254&gt;0,S254*100/Q254,0)</f>
        <v>66.205128205128204</v>
      </c>
      <c r="U254" s="747">
        <f>IF(R254&gt;0,S254*100/R254,0)</f>
        <v>0</v>
      </c>
    </row>
    <row r="255" spans="1:21" ht="18.75" x14ac:dyDescent="0.25">
      <c r="A255" s="401"/>
      <c r="B255" s="402"/>
      <c r="C255" s="411"/>
      <c r="D255" s="378" t="s">
        <v>320</v>
      </c>
      <c r="E255" s="411"/>
      <c r="F255" s="411"/>
      <c r="G255" s="412"/>
      <c r="H255" s="413" t="s">
        <v>14</v>
      </c>
      <c r="I255" s="416"/>
      <c r="J255" s="416"/>
      <c r="K255" s="417"/>
      <c r="L255" s="545">
        <f ca="1">IFERROR(__xludf.DUMMYFUNCTION("IMPORTRANGE(""https://docs.google.com/spreadsheets/d/1eHaY18a8A9IcSdp1K8H6x8fbOy06t2VsZHhMHf-1x7Y/edit?usp=sharing"",""แผน!BB19"")"),161000)</f>
        <v>161000</v>
      </c>
      <c r="M255" s="45"/>
      <c r="N255" s="737">
        <v>119721</v>
      </c>
      <c r="O255" s="45"/>
      <c r="P255" s="45"/>
      <c r="Q255" s="545">
        <v>0</v>
      </c>
      <c r="R255" s="45"/>
      <c r="S255" s="224">
        <v>0</v>
      </c>
      <c r="T255" s="136"/>
      <c r="U255" s="45"/>
    </row>
    <row r="256" spans="1:21" ht="18.75" x14ac:dyDescent="0.25">
      <c r="A256" s="658"/>
      <c r="B256" s="402"/>
      <c r="C256" s="402"/>
      <c r="D256" s="47" t="s">
        <v>326</v>
      </c>
      <c r="E256" s="411"/>
      <c r="F256" s="411"/>
      <c r="G256" s="412"/>
      <c r="H256" s="413" t="s">
        <v>14</v>
      </c>
      <c r="I256" s="406"/>
      <c r="J256" s="406"/>
      <c r="K256" s="407"/>
      <c r="L256" s="545">
        <f ca="1">IFERROR(__xludf.DUMMYFUNCTION("IMPORTRANGE(""https://docs.google.com/spreadsheets/d/1eHaY18a8A9IcSdp1K8H6x8fbOy06t2VsZHhMHf-1x7Y/edit?usp=sharing"",""แผน!ds19"")"),4000)</f>
        <v>4000</v>
      </c>
      <c r="M256" s="45"/>
      <c r="N256" s="737">
        <v>6000</v>
      </c>
      <c r="O256" s="45"/>
      <c r="P256" s="45"/>
      <c r="Q256" s="545">
        <v>0</v>
      </c>
      <c r="R256" s="45"/>
      <c r="S256" s="224">
        <v>0</v>
      </c>
      <c r="T256" s="136"/>
      <c r="U256" s="45"/>
    </row>
    <row r="257" spans="1:21" ht="18.75" x14ac:dyDescent="0.25">
      <c r="A257" s="658"/>
      <c r="B257" s="402"/>
      <c r="C257" s="402"/>
      <c r="D257" s="47" t="s">
        <v>88</v>
      </c>
      <c r="E257" s="411"/>
      <c r="F257" s="411"/>
      <c r="G257" s="412"/>
      <c r="H257" s="413" t="s">
        <v>14</v>
      </c>
      <c r="I257" s="406"/>
      <c r="J257" s="406"/>
      <c r="K257" s="407"/>
      <c r="L257" s="545">
        <f ca="1">IFERROR(__xludf.DUMMYFUNCTION("IMPORTRANGE(""https://docs.google.com/spreadsheets/d/1eHaY18a8A9IcSdp1K8H6x8fbOy06t2VsZHhMHf-1x7Y/edit?usp=sharing"",""แผน!BD19"")"),0)</f>
        <v>0</v>
      </c>
      <c r="M257" s="45"/>
      <c r="N257" s="737">
        <v>0</v>
      </c>
      <c r="O257" s="45"/>
      <c r="P257" s="45"/>
      <c r="Q257" s="545">
        <f ca="1">IFERROR(__xludf.DUMMYFUNCTION("IMPORTRANGE(""https://docs.google.com/spreadsheets/d/1eHaY18a8A9IcSdp1K8H6x8fbOy06t2VsZHhMHf-1x7Y/edit?usp=sharing"",""แผน!MH19"")"),156000)</f>
        <v>156000</v>
      </c>
      <c r="R257" s="45"/>
      <c r="S257" s="737">
        <v>103280</v>
      </c>
      <c r="T257" s="136"/>
      <c r="U257" s="45"/>
    </row>
    <row r="258" spans="1:21" ht="18.75" x14ac:dyDescent="0.25">
      <c r="A258" s="658"/>
      <c r="B258" s="402"/>
      <c r="C258" s="402"/>
      <c r="D258" s="47" t="s">
        <v>89</v>
      </c>
      <c r="E258" s="411"/>
      <c r="F258" s="411"/>
      <c r="G258" s="412"/>
      <c r="H258" s="413" t="s">
        <v>14</v>
      </c>
      <c r="I258" s="406"/>
      <c r="J258" s="406"/>
      <c r="K258" s="407"/>
      <c r="L258" s="545">
        <f ca="1">IFERROR(__xludf.DUMMYFUNCTION("IMPORTRANGE(""https://docs.google.com/spreadsheets/d/1eHaY18a8A9IcSdp1K8H6x8fbOy06t2VsZHhMHf-1x7Y/edit?usp=sharing"",""แผน!BE19"")"),135000)</f>
        <v>135000</v>
      </c>
      <c r="M258" s="45"/>
      <c r="N258" s="737">
        <v>135000</v>
      </c>
      <c r="O258" s="45"/>
      <c r="P258" s="45"/>
      <c r="Q258" s="545">
        <v>0</v>
      </c>
      <c r="R258" s="45"/>
      <c r="S258" s="224">
        <v>0</v>
      </c>
      <c r="T258" s="136"/>
      <c r="U258" s="45"/>
    </row>
    <row r="259" spans="1:21" ht="19.5" x14ac:dyDescent="0.3">
      <c r="A259" s="421"/>
      <c r="B259" s="422"/>
      <c r="C259" s="374" t="s">
        <v>18</v>
      </c>
      <c r="D259" s="705" t="s">
        <v>38</v>
      </c>
      <c r="E259" s="424"/>
      <c r="F259" s="424"/>
      <c r="G259" s="425"/>
      <c r="H259" s="428"/>
      <c r="I259" s="416"/>
      <c r="J259" s="406"/>
      <c r="K259" s="407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421"/>
      <c r="B260" s="422"/>
      <c r="C260" s="422"/>
      <c r="D260" s="557" t="s">
        <v>108</v>
      </c>
      <c r="E260" s="409"/>
      <c r="F260" s="409"/>
      <c r="G260" s="428"/>
      <c r="H260" s="836" t="s">
        <v>35</v>
      </c>
      <c r="I260" s="559">
        <f ca="1">IFERROR(__xludf.DUMMYFUNCTION("IMPORTRANGE(""https://docs.google.com/spreadsheets/d/1eHaY18a8A9IcSdp1K8H6x8fbOy06t2VsZHhMHf-1x7Y/edit?usp=sharing"",""แผน!BH19"")"),120)</f>
        <v>120</v>
      </c>
      <c r="J260" s="555">
        <v>120</v>
      </c>
      <c r="K260" s="558">
        <f ca="1">IF(I260&gt;0,J260*100/I260,0)</f>
        <v>100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421"/>
      <c r="B261" s="422"/>
      <c r="C261" s="422"/>
      <c r="D261" s="837" t="s">
        <v>43</v>
      </c>
      <c r="E261" s="409"/>
      <c r="F261" s="409"/>
      <c r="G261" s="428"/>
      <c r="H261" s="428"/>
      <c r="I261" s="406"/>
      <c r="J261" s="406"/>
      <c r="K261" s="407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421"/>
      <c r="B262" s="422"/>
      <c r="C262" s="422"/>
      <c r="D262" s="422"/>
      <c r="E262" s="316" t="s">
        <v>109</v>
      </c>
      <c r="F262" s="409"/>
      <c r="G262" s="428"/>
      <c r="H262" s="836" t="s">
        <v>35</v>
      </c>
      <c r="I262" s="559">
        <f ca="1">IFERROR(__xludf.DUMMYFUNCTION("IMPORTRANGE(""https://docs.google.com/spreadsheets/d/1eHaY18a8A9IcSdp1K8H6x8fbOy06t2VsZHhMHf-1x7Y/edit?usp=sharing"",""แผน!KT19"")"),120)</f>
        <v>120</v>
      </c>
      <c r="J262" s="555">
        <v>120</v>
      </c>
      <c r="K262" s="558">
        <f ca="1">IF(I262&gt;0,J262*100/I262,0)</f>
        <v>100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421"/>
      <c r="B263" s="422"/>
      <c r="C263" s="422"/>
      <c r="D263" s="422"/>
      <c r="E263" s="316" t="s">
        <v>110</v>
      </c>
      <c r="F263" s="409"/>
      <c r="G263" s="428"/>
      <c r="H263" s="836" t="s">
        <v>35</v>
      </c>
      <c r="I263" s="559">
        <f ca="1">IFERROR(__xludf.DUMMYFUNCTION("IMPORTRANGE(""https://docs.google.com/spreadsheets/d/1eHaY18a8A9IcSdp1K8H6x8fbOy06t2VsZHhMHf-1x7Y/edit?usp=sharing"",""แผน!KU19"")"),1)</f>
        <v>1</v>
      </c>
      <c r="J263" s="555">
        <v>1</v>
      </c>
      <c r="K263" s="558">
        <f ca="1">IF(I263&gt;0,J263*100/I263,0)</f>
        <v>100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21500</v>
      </c>
      <c r="N266" s="715">
        <f ca="1">N267+N268</f>
        <v>16500</v>
      </c>
      <c r="O266" s="715">
        <f ca="1">IF(L266&gt;0,N266*100/L266,0)</f>
        <v>330</v>
      </c>
      <c r="P266" s="715">
        <f ca="1">IF(M266&gt;0,N266*100/M266,0)</f>
        <v>76.744186046511629</v>
      </c>
      <c r="Q266" s="715">
        <f ca="1">Q267+Q268</f>
        <v>50660</v>
      </c>
      <c r="R266" s="715">
        <f ca="1">R267+R268</f>
        <v>50660</v>
      </c>
      <c r="S266" s="715">
        <f ca="1">S267+S268</f>
        <v>46940</v>
      </c>
      <c r="T266" s="715">
        <f ca="1">IF(Q266&gt;0,S266*100/Q266,0)</f>
        <v>92.65692854322937</v>
      </c>
      <c r="U266" s="715">
        <f ca="1">IF(R266&gt;0,S266*100/R266,0)</f>
        <v>92.65692854322937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21500</v>
      </c>
      <c r="N268" s="558">
        <f ca="1">N271+N274</f>
        <v>16500</v>
      </c>
      <c r="O268" s="558">
        <f ca="1">IF(L268&gt;0,N268*100/L268,0)</f>
        <v>330</v>
      </c>
      <c r="P268" s="558">
        <f ca="1">IF(M268&gt;0,N268*100/M268,0)</f>
        <v>76.744186046511629</v>
      </c>
      <c r="Q268" s="558">
        <f ca="1">Q271+Q274</f>
        <v>50660</v>
      </c>
      <c r="R268" s="558">
        <f ca="1">R271+R274</f>
        <v>50660</v>
      </c>
      <c r="S268" s="558">
        <f ca="1">S271+S274</f>
        <v>46940</v>
      </c>
      <c r="T268" s="558">
        <f ca="1">IF(Q268&gt;0,S268*100/Q268,0)</f>
        <v>92.65692854322937</v>
      </c>
      <c r="U268" s="558">
        <f ca="1">IF(R268&gt;0,S268*100/R268,0)</f>
        <v>92.65692854322937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21500</v>
      </c>
      <c r="N269" s="558">
        <f ca="1">N270+N271</f>
        <v>16500</v>
      </c>
      <c r="O269" s="558">
        <f ca="1">IF(L269&gt;0,N269*100/L269,0)</f>
        <v>330</v>
      </c>
      <c r="P269" s="558">
        <f ca="1">IF(M269&gt;0,N269*100/M269,0)</f>
        <v>76.744186046511629</v>
      </c>
      <c r="Q269" s="558">
        <f ca="1">Q270+Q271</f>
        <v>50660</v>
      </c>
      <c r="R269" s="558">
        <f ca="1">R270+R271</f>
        <v>50660</v>
      </c>
      <c r="S269" s="558">
        <f ca="1">S270+S271</f>
        <v>46940</v>
      </c>
      <c r="T269" s="558">
        <f ca="1">IF(Q269&gt;0,S269*100/Q269,0)</f>
        <v>92.65692854322937</v>
      </c>
      <c r="U269" s="558">
        <f ca="1">IF(R269&gt;0,S269*100/R269,0)</f>
        <v>92.65692854322937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IFERROR(__xludf.DUMMYFUNCTION("IMPORTRANGE(""https://docs.google.com/spreadsheets/d/1-uDff_7J0KD5mKrp0Vvzr7lt3OU09vwQwhkpOPPYv2Y/edit?usp=sharing"",""งบพรบ!DE19"")"),5000)</f>
        <v>5000</v>
      </c>
      <c r="M271" s="558">
        <f ca="1">IFERROR(__xludf.DUMMYFUNCTION("IMPORTRANGE(""https://docs.google.com/spreadsheets/d/1-uDff_7J0KD5mKrp0Vvzr7lt3OU09vwQwhkpOPPYv2Y/edit?usp=sharing"",""งบพรบ!DJ19"")"),21500)</f>
        <v>21500</v>
      </c>
      <c r="N271" s="558">
        <f ca="1">IFERROR(__xludf.DUMMYFUNCTION("IMPORTRANGE(""https://docs.google.com/spreadsheets/d/1-uDff_7J0KD5mKrp0Vvzr7lt3OU09vwQwhkpOPPYv2Y/edit?usp=sharing"",""งบพรบ!DL19"")"),16500)</f>
        <v>16500</v>
      </c>
      <c r="O271" s="558">
        <f ca="1">IF(L271&gt;0,N271*100/L271,0)</f>
        <v>330</v>
      </c>
      <c r="P271" s="558">
        <f ca="1">IF(M271&gt;0,N271*100/M271,0)</f>
        <v>76.744186046511629</v>
      </c>
      <c r="Q271" s="558">
        <f ca="1">IFERROR(__xludf.DUMMYFUNCTION("IMPORTRANGE(""https://docs.google.com/spreadsheets/d/1ItG2mGa2ceCfYo0BwxsXqNm01IGEUdYcSSLTEv9YCik/edit?usp=sharing"",""เบิกจ่ายกองทุน!AP19"")"),50660)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IFERROR(__xludf.DUMMYFUNCTION("IMPORTRANGE(""https://docs.google.com/spreadsheets/d/1ItG2mGa2ceCfYo0BwxsXqNm01IGEUdYcSSLTEv9YCik/edit?usp=sharing"",""เบิกจ่ายกองทุน!AQ19"")"),50660)</f>
        <v>50660</v>
      </c>
      <c r="S271" s="558">
        <f ca="1">IFERROR(__xludf.DUMMYFUNCTION("IMPORTRANGE(""https://docs.google.com/spreadsheets/d/1ItG2mGa2ceCfYo0BwxsXqNm01IGEUdYcSSLTEv9YCik/edit?usp=sharing"",""เบิกจ่ายกองทุน!AR19"")"),46940)</f>
        <v>46940</v>
      </c>
      <c r="T271" s="558">
        <f ca="1">IF(Q271&gt;0,S271*100/Q271,0)</f>
        <v>92.65692854322937</v>
      </c>
      <c r="U271" s="558">
        <f ca="1">IF(R271&gt;0,S271*100/R271,0)</f>
        <v>92.65692854322937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IFERROR(__xludf.DUMMYFUNCTION("IMPORTRANGE(""https://docs.google.com/spreadsheets/d/1-uDff_7J0KD5mKrp0Vvzr7lt3OU09vwQwhkpOPPYv2Y/edit?usp=sharing"",""งบพรบ!DH19"")"),0)</f>
        <v>0</v>
      </c>
      <c r="M274" s="558">
        <f ca="1">IFERROR(__xludf.DUMMYFUNCTION("IMPORTRANGE(""https://docs.google.com/spreadsheets/d/1-uDff_7J0KD5mKrp0Vvzr7lt3OU09vwQwhkpOPPYv2Y/edit?usp=sharing"",""งบพรบ!DK19"")"),0)</f>
        <v>0</v>
      </c>
      <c r="N274" s="558">
        <f ca="1">IFERROR(__xludf.DUMMYFUNCTION("IMPORTRANGE(""https://docs.google.com/spreadsheets/d/1-uDff_7J0KD5mKrp0Vvzr7lt3OU09vwQwhkpOPPYv2Y/edit?usp=sharing"",""งบพรบ!DM19"")"),0)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IFERROR(__xludf.DUMMYFUNCTION("IMPORTRANGE(""https://docs.google.com/spreadsheets/d/1eHaY18a8A9IcSdp1K8H6x8fbOy06t2VsZHhMHf-1x7Y/edit?usp=sharing"",""แผน!EC19"")"),22)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181820</v>
      </c>
      <c r="M282" s="547">
        <f ca="1">M283+M284</f>
        <v>194430</v>
      </c>
      <c r="N282" s="547">
        <f ca="1">N283+N284</f>
        <v>142111.15</v>
      </c>
      <c r="O282" s="547">
        <f ca="1">IF(L282&gt;0,N282*100/L282,0)</f>
        <v>78.160350896491039</v>
      </c>
      <c r="P282" s="547">
        <f ca="1">IF(M282&gt;0,N282*100/M282,0)</f>
        <v>73.09116391503369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181820</v>
      </c>
      <c r="M284" s="224">
        <f ca="1">M287+M290</f>
        <v>194430</v>
      </c>
      <c r="N284" s="224">
        <f ca="1">N287+N290</f>
        <v>142111.15</v>
      </c>
      <c r="O284" s="224">
        <f ca="1">IF(L284&gt;0,N284*100/L284,0)</f>
        <v>78.160350896491039</v>
      </c>
      <c r="P284" s="224">
        <f ca="1">IF(M284&gt;0,N284*100/M284,0)</f>
        <v>73.09116391503369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181820</v>
      </c>
      <c r="M285" s="224">
        <f ca="1">M286+M287</f>
        <v>194430</v>
      </c>
      <c r="N285" s="224">
        <f ca="1">N286+N287</f>
        <v>142111.15</v>
      </c>
      <c r="O285" s="224">
        <f ca="1">IF(L285&gt;0,N285*100/L285,0)</f>
        <v>78.160350896491039</v>
      </c>
      <c r="P285" s="224">
        <f ca="1">IF(M285&gt;0,N285*100/M285,0)</f>
        <v>73.09116391503369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IFERROR(__xludf.DUMMYFUNCTION("IMPORTRANGE(""https://docs.google.com/spreadsheets/d/1-uDff_7J0KD5mKrp0Vvzr7lt3OU09vwQwhkpOPPYv2Y/edit?usp=sharing"",""งบพรบ!DO19"")"),181820)</f>
        <v>181820</v>
      </c>
      <c r="M287" s="224">
        <f ca="1">IFERROR(__xludf.DUMMYFUNCTION("IMPORTRANGE(""https://docs.google.com/spreadsheets/d/1-uDff_7J0KD5mKrp0Vvzr7lt3OU09vwQwhkpOPPYv2Y/edit?usp=sharing"",""งบพรบ!DT19"")"),194430)</f>
        <v>194430</v>
      </c>
      <c r="N287" s="224">
        <f ca="1">IFERROR(__xludf.DUMMYFUNCTION("IMPORTRANGE(""https://docs.google.com/spreadsheets/d/1-uDff_7J0KD5mKrp0Vvzr7lt3OU09vwQwhkpOPPYv2Y/edit?usp=sharing"",""งบพรบ!DV19"")"),142111.15)</f>
        <v>142111.15</v>
      </c>
      <c r="O287" s="224">
        <f ca="1">IF(L287&gt;0,N287*100/L287,0)</f>
        <v>78.160350896491039</v>
      </c>
      <c r="P287" s="224">
        <f ca="1">IF(M287&gt;0,N287*100/M287,0)</f>
        <v>73.09116391503369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IFERROR(__xludf.DUMMYFUNCTION("IMPORTRANGE(""https://docs.google.com/spreadsheets/d/1-uDff_7J0KD5mKrp0Vvzr7lt3OU09vwQwhkpOPPYv2Y/edit?usp=sharing"",""งบพรบ!DR19"")"),0)</f>
        <v>0</v>
      </c>
      <c r="M290" s="224">
        <f ca="1">IFERROR(__xludf.DUMMYFUNCTION("IMPORTRANGE(""https://docs.google.com/spreadsheets/d/1-uDff_7J0KD5mKrp0Vvzr7lt3OU09vwQwhkpOPPYv2Y/edit?usp=sharing"",""งบพรบ!DU19"")"),0)</f>
        <v>0</v>
      </c>
      <c r="N290" s="224">
        <f ca="1">IFERROR(__xludf.DUMMYFUNCTION("IMPORTRANGE(""https://docs.google.com/spreadsheets/d/1-uDff_7J0KD5mKrp0Vvzr7lt3OU09vwQwhkpOPPYv2Y/edit?usp=sharing"",""งบพรบ!DW19"")"),0)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IFERROR(__xludf.DUMMYFUNCTION("IMPORTRANGE(""https://docs.google.com/spreadsheets/d/1eHaY18a8A9IcSdp1K8H6x8fbOy06t2VsZHhMHf-1x7Y/edit?usp=sharing"",""แผน!EE19"")"),100)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IFERROR(__xludf.DUMMYFUNCTION("IMPORTRANGE(""https://docs.google.com/spreadsheets/d/1eHaY18a8A9IcSdp1K8H6x8fbOy06t2VsZHhMHf-1x7Y/edit?usp=sharing"",""แผน!ED19"")"),10)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IFERROR(__xludf.DUMMYFUNCTION("IMPORTRANGE(""https://docs.google.com/spreadsheets/d/1eHaY18a8A9IcSdp1K8H6x8fbOy06t2VsZHhMHf-1x7Y/edit?usp=sharing"",""แผน!ED19"")"),10)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IFERROR(__xludf.DUMMYFUNCTION("IMPORTRANGE(""https://docs.google.com/spreadsheets/d/1eHaY18a8A9IcSdp1K8H6x8fbOy06t2VsZHhMHf-1x7Y/edit?usp=sharing"",""แผน!ED19"")"),10)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IFERROR(__xludf.DUMMYFUNCTION("IMPORTRANGE(""https://docs.google.com/spreadsheets/d/1eHaY18a8A9IcSdp1K8H6x8fbOy06t2VsZHhMHf-1x7Y/edit?usp=sharing"",""แผน!ED19"")"),10)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IFERROR(__xludf.DUMMYFUNCTION("IMPORTRANGE(""https://docs.google.com/spreadsheets/d/1eHaY18a8A9IcSdp1K8H6x8fbOy06t2VsZHhMHf-1x7Y/edit?usp=sharing"",""แผน!ED19"")"),10)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30</v>
      </c>
      <c r="J302" s="632">
        <f>J314</f>
        <v>30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260958.39</v>
      </c>
      <c r="R303" s="547">
        <f ca="1">R304+R305</f>
        <v>265158</v>
      </c>
      <c r="S303" s="547">
        <f ca="1">S304+S305</f>
        <v>224481</v>
      </c>
      <c r="T303" s="547">
        <f ca="1">IF(Q303&gt;0,S303*100/Q303,0)</f>
        <v>86.021760020821702</v>
      </c>
      <c r="U303" s="547">
        <f ca="1">IF(R303&gt;0,S303*100/R303,0)</f>
        <v>84.659335188830809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265158</v>
      </c>
      <c r="S305" s="224">
        <f ca="1">S308+S311</f>
        <v>224481</v>
      </c>
      <c r="T305" s="224">
        <f ca="1">IF(Q305&gt;0,S305*100/Q305,0)</f>
        <v>86.021760020821702</v>
      </c>
      <c r="U305" s="224">
        <f ca="1">IF(R305&gt;0,S305*100/R305,0)</f>
        <v>84.659335188830809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265158</v>
      </c>
      <c r="S306" s="224">
        <f ca="1">S307+S308</f>
        <v>224481</v>
      </c>
      <c r="T306" s="224">
        <f ca="1">IF(Q306&gt;0,S306*100/Q306,0)</f>
        <v>86.021760020821702</v>
      </c>
      <c r="U306" s="224">
        <f ca="1">IF(R306&gt;0,S306*100/R306,0)</f>
        <v>84.659335188830809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IFERROR(__xludf.DUMMYFUNCTION("IMPORTRANGE(""https://docs.google.com/spreadsheets/d/1-uDff_7J0KD5mKrp0Vvzr7lt3OU09vwQwhkpOPPYv2Y/edit?usp=sharing"",""งบพรบ!DY19"")"),0)</f>
        <v>0</v>
      </c>
      <c r="M308" s="224">
        <f ca="1">IFERROR(__xludf.DUMMYFUNCTION("IMPORTRANGE(""https://docs.google.com/spreadsheets/d/1-uDff_7J0KD5mKrp0Vvzr7lt3OU09vwQwhkpOPPYv2Y/edit?usp=sharing"",""งบพรบ!ED19"")"),0)</f>
        <v>0</v>
      </c>
      <c r="N308" s="224">
        <f ca="1">IFERROR(__xludf.DUMMYFUNCTION("IMPORTRANGE(""https://docs.google.com/spreadsheets/d/1-uDff_7J0KD5mKrp0Vvzr7lt3OU09vwQwhkpOPPYv2Y/edit?usp=sharing"",""งบพรบ!EF19"")"),0)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IFERROR(__xludf.DUMMYFUNCTION("IMPORTRANGE(""https://docs.google.com/spreadsheets/d/1ItG2mGa2ceCfYo0BwxsXqNm01IGEUdYcSSLTEv9YCik/edit?usp=sharing"",""เบิกจ่ายกองทุน!BB19"")"),260958.39)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IFERROR(__xludf.DUMMYFUNCTION("IMPORTRANGE(""https://docs.google.com/spreadsheets/d/1ItG2mGa2ceCfYo0BwxsXqNm01IGEUdYcSSLTEv9YCik/edit?usp=sharing"",""เบิกจ่ายกองทุน!BC19"")"),265158)</f>
        <v>265158</v>
      </c>
      <c r="S308" s="224">
        <f ca="1">IFERROR(__xludf.DUMMYFUNCTION("IMPORTRANGE(""https://docs.google.com/spreadsheets/d/1ItG2mGa2ceCfYo0BwxsXqNm01IGEUdYcSSLTEv9YCik/edit?usp=sharing"",""เบิกจ่ายกองทุน!BD19"")"),224481)</f>
        <v>224481</v>
      </c>
      <c r="T308" s="224">
        <f ca="1">IF(Q308&gt;0,S308*100/Q308,0)</f>
        <v>86.021760020821702</v>
      </c>
      <c r="U308" s="224">
        <f ca="1">IF(R308&gt;0,S308*100/R308,0)</f>
        <v>84.659335188830809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IFERROR(__xludf.DUMMYFUNCTION("IMPORTRANGE(""https://docs.google.com/spreadsheets/d/1-uDff_7J0KD5mKrp0Vvzr7lt3OU09vwQwhkpOPPYv2Y/edit?usp=sharing"",""งบพรบ!EB19"")"),0)</f>
        <v>0</v>
      </c>
      <c r="M311" s="224">
        <f ca="1">IFERROR(__xludf.DUMMYFUNCTION("IMPORTRANGE(""https://docs.google.com/spreadsheets/d/1-uDff_7J0KD5mKrp0Vvzr7lt3OU09vwQwhkpOPPYv2Y/edit?usp=sharing"",""งบพรบ!EE19"")"),0)</f>
        <v>0</v>
      </c>
      <c r="N311" s="224">
        <f ca="1">IFERROR(__xludf.DUMMYFUNCTION("IMPORTRANGE(""https://docs.google.com/spreadsheets/d/1-uDff_7J0KD5mKrp0Vvzr7lt3OU09vwQwhkpOPPYv2Y/edit?usp=sharing"",""งบพรบ!EG19"")"),0)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IFERROR(__xludf.DUMMYFUNCTION("IMPORTRANGE(""https://docs.google.com/spreadsheets/d/1eHaY18a8A9IcSdp1K8H6x8fbOy06t2VsZHhMHf-1x7Y/edit?usp=sharing"",""แผน!EF19"")"),30)</f>
        <v>30</v>
      </c>
      <c r="J314" s="380">
        <v>30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IFERROR(__xludf.DUMMYFUNCTION("IMPORTRANGE(""https://docs.google.com/spreadsheets/d/1-uDff_7J0KD5mKrp0Vvzr7lt3OU09vwQwhkpOPPYv2Y/edit?usp=sharing"",""งบพรบ!EI19"")"),0)</f>
        <v>0</v>
      </c>
      <c r="M325" s="224">
        <f ca="1">IFERROR(__xludf.DUMMYFUNCTION("IMPORTRANGE(""https://docs.google.com/spreadsheets/d/1-uDff_7J0KD5mKrp0Vvzr7lt3OU09vwQwhkpOPPYv2Y/edit?usp=sharing"",""งบพรบ!EN19"")"),0)</f>
        <v>0</v>
      </c>
      <c r="N325" s="224">
        <f ca="1">IFERROR(__xludf.DUMMYFUNCTION("IMPORTRANGE(""https://docs.google.com/spreadsheets/d/1-uDff_7J0KD5mKrp0Vvzr7lt3OU09vwQwhkpOPPYv2Y/edit?usp=sharing"",""งบพรบ!EP19"")"),0)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IFERROR(__xludf.DUMMYFUNCTION("IMPORTRANGE(""https://docs.google.com/spreadsheets/d/1-uDff_7J0KD5mKrp0Vvzr7lt3OU09vwQwhkpOPPYv2Y/edit?usp=sharing"",""งบพรบ!EL19"")"),0)</f>
        <v>0</v>
      </c>
      <c r="M328" s="224">
        <f ca="1">IFERROR(__xludf.DUMMYFUNCTION("IMPORTRANGE(""https://docs.google.com/spreadsheets/d/1-uDff_7J0KD5mKrp0Vvzr7lt3OU09vwQwhkpOPPYv2Y/edit?usp=sharing"",""งบพรบ!EO19"")"),0)</f>
        <v>0</v>
      </c>
      <c r="N328" s="224">
        <f ca="1">IFERROR(__xludf.DUMMYFUNCTION("IMPORTRANGE(""https://docs.google.com/spreadsheets/d/1-uDff_7J0KD5mKrp0Vvzr7lt3OU09vwQwhkpOPPYv2Y/edit?usp=sharing"",""งบพรบ!EQ19"")"),0)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IFERROR(__xludf.DUMMYFUNCTION("IMPORTRANGE(""https://docs.google.com/spreadsheets/d/1eHaY18a8A9IcSdp1K8H6x8fbOy06t2VsZHhMHf-1x7Y/edit?usp=sharing"",""แผน!EJ19"")"),0)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IFERROR(__xludf.DUMMYFUNCTION("IMPORTRANGE(""https://docs.google.com/spreadsheets/d/1eHaY18a8A9IcSdp1K8H6x8fbOy06t2VsZHhMHf-1x7Y/edit?usp=sharing"",""แผน!EK19"")"),1600)</f>
        <v>1600</v>
      </c>
      <c r="J332" s="300">
        <f ca="1">J344+J347+J348+J349+J353+J354</f>
        <v>13764</v>
      </c>
      <c r="K332" s="679">
        <f ca="1">IF(I332&gt;0,J332*100/I332,0)</f>
        <v>860.25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187000</v>
      </c>
      <c r="M333" s="547">
        <f ca="1">M334+M335</f>
        <v>187000</v>
      </c>
      <c r="N333" s="547">
        <f ca="1">N334+N335</f>
        <v>145610</v>
      </c>
      <c r="O333" s="547">
        <f ca="1">IF(L333&gt;0,N333*100/L333,0)</f>
        <v>77.866310160427801</v>
      </c>
      <c r="P333" s="547">
        <f ca="1">IF(M333&gt;0,N333*100/M333,0)</f>
        <v>77.866310160427801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187000</v>
      </c>
      <c r="M335" s="224">
        <f ca="1">M338+M341</f>
        <v>187000</v>
      </c>
      <c r="N335" s="224">
        <f ca="1">N338+N341</f>
        <v>145610</v>
      </c>
      <c r="O335" s="224">
        <f ca="1">IF(L335&gt;0,N335*100/L335,0)</f>
        <v>77.866310160427801</v>
      </c>
      <c r="P335" s="224">
        <f ca="1">IF(M335&gt;0,N335*100/M335,0)</f>
        <v>77.866310160427801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187000</v>
      </c>
      <c r="M336" s="224">
        <f ca="1">M337+M338</f>
        <v>187000</v>
      </c>
      <c r="N336" s="224">
        <f ca="1">N337+N338</f>
        <v>145610</v>
      </c>
      <c r="O336" s="224">
        <f ca="1">IF(L336&gt;0,N336*100/L336,0)</f>
        <v>77.866310160427801</v>
      </c>
      <c r="P336" s="224">
        <f ca="1">IF(M336&gt;0,N336*100/M336,0)</f>
        <v>77.866310160427801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IFERROR(__xludf.DUMMYFUNCTION("IMPORTRANGE(""https://docs.google.com/spreadsheets/d/1-uDff_7J0KD5mKrp0Vvzr7lt3OU09vwQwhkpOPPYv2Y/edit?usp=sharing"",""งบพรบ!ES19"")"),187000)</f>
        <v>187000</v>
      </c>
      <c r="M338" s="224">
        <f ca="1">IFERROR(__xludf.DUMMYFUNCTION("IMPORTRANGE(""https://docs.google.com/spreadsheets/d/1-uDff_7J0KD5mKrp0Vvzr7lt3OU09vwQwhkpOPPYv2Y/edit?usp=sharing"",""งบพรบ!EX19"")"),187000)</f>
        <v>187000</v>
      </c>
      <c r="N338" s="224">
        <f ca="1">IFERROR(__xludf.DUMMYFUNCTION("IMPORTRANGE(""https://docs.google.com/spreadsheets/d/1-uDff_7J0KD5mKrp0Vvzr7lt3OU09vwQwhkpOPPYv2Y/edit?usp=sharing"",""งบพรบ!EZ19"")"),145610)</f>
        <v>145610</v>
      </c>
      <c r="O338" s="224">
        <f ca="1">IF(L338&gt;0,N338*100/L338,0)</f>
        <v>77.866310160427801</v>
      </c>
      <c r="P338" s="224">
        <f ca="1">IF(M338&gt;0,N338*100/M338,0)</f>
        <v>77.866310160427801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IFERROR(__xludf.DUMMYFUNCTION("IMPORTRANGE(""https://docs.google.com/spreadsheets/d/1-uDff_7J0KD5mKrp0Vvzr7lt3OU09vwQwhkpOPPYv2Y/edit?usp=sharing"",""งบพรบ!EV19"")"),0)</f>
        <v>0</v>
      </c>
      <c r="M341" s="224">
        <f ca="1">IFERROR(__xludf.DUMMYFUNCTION("IMPORTRANGE(""https://docs.google.com/spreadsheets/d/1-uDff_7J0KD5mKrp0Vvzr7lt3OU09vwQwhkpOPPYv2Y/edit?usp=sharing"",""งบพรบ!EY19"")"),0)</f>
        <v>0</v>
      </c>
      <c r="N341" s="224">
        <f ca="1">IFERROR(__xludf.DUMMYFUNCTION("IMPORTRANGE(""https://docs.google.com/spreadsheets/d/1-uDff_7J0KD5mKrp0Vvzr7lt3OU09vwQwhkpOPPYv2Y/edit?usp=sharing"",""งบพรบ!FA19"")"),0)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3829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IFERROR(__xludf.DUMMYFUNCTION("IMPORTRANGE(""https://docs.google.com/spreadsheets/d/1awYsYK3VOup2i3Pq_Yjnu8DRu_mYwSBnCR2QPthd0rU/edit?usp=sharing"",""ศูนย์ยกเว้นโฉนด!D19"")"),3593)</f>
        <v>3593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IFERROR(__xludf.DUMMYFUNCTION("IMPORTRANGE(""https://docs.google.com/spreadsheets/d/1eHaY18a8A9IcSdp1K8H6x8fbOy06t2VsZHhMHf-1x7Y/edit?usp=sharing"",""แผน!EL19"")"),7)</f>
        <v>7</v>
      </c>
      <c r="J346" s="184">
        <f ca="1">IFERROR(__xludf.DUMMYFUNCTION("IMPORTRANGE(""https://docs.google.com/spreadsheets/d/1awYsYK3VOup2i3Pq_Yjnu8DRu_mYwSBnCR2QPthd0rU/edit?usp=sharing"",""ศูนย์รวม!E19"")"),7)</f>
        <v>7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IFERROR(__xludf.DUMMYFUNCTION("IMPORTRANGE(""https://docs.google.com/spreadsheets/d/1awYsYK3VOup2i3Pq_Yjnu8DRu_mYwSBnCR2QPthd0rU/edit?usp=sharing"",""ศูนย์ยกเว้นโฉนด!F19"")"),236)</f>
        <v>236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IFERROR(__xludf.DUMMYFUNCTION("IMPORTRANGE(""https://docs.google.com/spreadsheets/d/1awYsYK3VOup2i3Pq_Yjnu8DRu_mYwSBnCR2QPthd0rU/edit?usp=sharing"",""ศูนย์ยกเว้นโฉนด!G19"")"),0)</f>
        <v>0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IFERROR(__xludf.DUMMYFUNCTION("IMPORTRANGE(""https://docs.google.com/spreadsheets/d/1awYsYK3VOup2i3Pq_Yjnu8DRu_mYwSBnCR2QPthd0rU/edit?usp=sharing"",""ศูนย์ยกเว้นโฉนด!H19"")"),0)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9935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IFERROR(__xludf.DUMMYFUNCTION("IMPORTRANGE(""https://docs.google.com/spreadsheets/d/1awYsYK3VOup2i3Pq_Yjnu8DRu_mYwSBnCR2QPthd0rU/edit?usp=sharing"",""โฉนดM3!G19"")"),1090)</f>
        <v>1090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IFERROR(__xludf.DUMMYFUNCTION("IMPORTRANGE(""https://docs.google.com/spreadsheets/d/1awYsYK3VOup2i3Pq_Yjnu8DRu_mYwSBnCR2QPthd0rU/edit?usp=sharing"",""โฉนดM3!H19"")"),9193)</f>
        <v>9193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IFERROR(__xludf.DUMMYFUNCTION("IMPORTRANGE(""https://docs.google.com/spreadsheets/d/1awYsYK3VOup2i3Pq_Yjnu8DRu_mYwSBnCR2QPthd0rU/edit?usp=sharing"",""โฉนดM3!I19"")"),742)</f>
        <v>742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1027990</v>
      </c>
      <c r="M356" s="547">
        <f ca="1">M357+M358</f>
        <v>1223665</v>
      </c>
      <c r="N356" s="547">
        <f ca="1">N357+N358</f>
        <v>1040372</v>
      </c>
      <c r="O356" s="547">
        <f ca="1">IF(L356&gt;0,N356*100/L356,0)</f>
        <v>101.20448642496522</v>
      </c>
      <c r="P356" s="547">
        <f ca="1">IF(M356&gt;0,N356*100/M356,0)</f>
        <v>85.020982049825733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1027990</v>
      </c>
      <c r="M358" s="224">
        <f ca="1">M361+M364</f>
        <v>1223665</v>
      </c>
      <c r="N358" s="224">
        <f ca="1">N361+N364</f>
        <v>1040372</v>
      </c>
      <c r="O358" s="224">
        <f ca="1">IF(L358&gt;0,N358*100/L358,0)</f>
        <v>101.20448642496522</v>
      </c>
      <c r="P358" s="224">
        <f ca="1">IF(M358&gt;0,N358*100/M358,0)</f>
        <v>85.020982049825733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1027990</v>
      </c>
      <c r="M359" s="224">
        <f ca="1">M360+M361</f>
        <v>1223665</v>
      </c>
      <c r="N359" s="224">
        <f ca="1">N360+N361</f>
        <v>1040372</v>
      </c>
      <c r="O359" s="224">
        <f ca="1">IF(L359&gt;0,N359*100/L359,0)</f>
        <v>101.20448642496522</v>
      </c>
      <c r="P359" s="224">
        <f ca="1">IF(M359&gt;0,N359*100/M359,0)</f>
        <v>85.020982049825733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IFERROR(__xludf.DUMMYFUNCTION("IMPORTRANGE(""https://docs.google.com/spreadsheets/d/1-uDff_7J0KD5mKrp0Vvzr7lt3OU09vwQwhkpOPPYv2Y/edit?usp=sharing"",""งบพรบ!FC19"")"),1027990)</f>
        <v>1027990</v>
      </c>
      <c r="M361" s="224">
        <f ca="1">IFERROR(__xludf.DUMMYFUNCTION("IMPORTRANGE(""https://docs.google.com/spreadsheets/d/1-uDff_7J0KD5mKrp0Vvzr7lt3OU09vwQwhkpOPPYv2Y/edit?usp=sharing"",""งบพรบ!FH19"")"),1223665)</f>
        <v>1223665</v>
      </c>
      <c r="N361" s="224">
        <f ca="1">IFERROR(__xludf.DUMMYFUNCTION("IMPORTRANGE(""https://docs.google.com/spreadsheets/d/1-uDff_7J0KD5mKrp0Vvzr7lt3OU09vwQwhkpOPPYv2Y/edit?usp=sharing"",""งบพรบ!FJ19"")"),1040372)</f>
        <v>1040372</v>
      </c>
      <c r="O361" s="224">
        <f ca="1">IF(L361&gt;0,N361*100/L361,0)</f>
        <v>101.20448642496522</v>
      </c>
      <c r="P361" s="224">
        <f ca="1">IF(M361&gt;0,N361*100/M361,0)</f>
        <v>85.020982049825733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IFERROR(__xludf.DUMMYFUNCTION("IMPORTRANGE(""https://docs.google.com/spreadsheets/d/1-uDff_7J0KD5mKrp0Vvzr7lt3OU09vwQwhkpOPPYv2Y/edit?usp=sharing"",""งบพรบ!FF19"")"),0)</f>
        <v>0</v>
      </c>
      <c r="M364" s="224">
        <f ca="1">IFERROR(__xludf.DUMMYFUNCTION("IMPORTRANGE(""https://docs.google.com/spreadsheets/d/1-uDff_7J0KD5mKrp0Vvzr7lt3OU09vwQwhkpOPPYv2Y/edit?usp=sharing"",""งบพรบ!FI19"")"),0)</f>
        <v>0</v>
      </c>
      <c r="N364" s="224">
        <f ca="1">IFERROR(__xludf.DUMMYFUNCTION("IMPORTRANGE(""https://docs.google.com/spreadsheets/d/1-uDff_7J0KD5mKrp0Vvzr7lt3OU09vwQwhkpOPPYv2Y/edit?usp=sharing"",""งบพรบ!FK19"")"),0)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1837</v>
      </c>
      <c r="J365" s="302">
        <f ca="1">J371</f>
        <v>1871</v>
      </c>
      <c r="K365" s="303">
        <f ca="1">IF(I365&gt;0,J365*100/I365,0)</f>
        <v>101.85084376701143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IFERROR(__xludf.DUMMYFUNCTION("IMPORTRANGE(""https://docs.google.com/spreadsheets/d/1tdoBKaGub7dwA3U6UFTqxio9LNnvDCQjHKmttSEBsFQ/edit?usp=sharing"",""จัดที่ดิน!AB19"")"),351)</f>
        <v>351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IFERROR(__xludf.DUMMYFUNCTION("IMPORTRANGE(""https://docs.google.com/spreadsheets/d/1eHaY18a8A9IcSdp1K8H6x8fbOy06t2VsZHhMHf-1x7Y/edit?usp=sharing"",""แผน!EW19"")"),1260)</f>
        <v>1260</v>
      </c>
      <c r="J368" s="668">
        <f ca="1">IFERROR(__xludf.DUMMYFUNCTION("IMPORTRANGE(""https://docs.google.com/spreadsheets/d/1tdoBKaGub7dwA3U6UFTqxio9LNnvDCQjHKmttSEBsFQ/edit?usp=sharing"",""จัดที่ดิน!AC19"")"),1480.93)</f>
        <v>1480.93</v>
      </c>
      <c r="K368" s="224">
        <f ca="1">IF(I368&gt;0,J368*100/I368,0)</f>
        <v>117.53412698412698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IFERROR(__xludf.DUMMYFUNCTION("IMPORTRANGE(""https://docs.google.com/spreadsheets/d/1eHaY18a8A9IcSdp1K8H6x8fbOy06t2VsZHhMHf-1x7Y/edit?usp=sharing"",""แผน!EX19"")"),1837)</f>
        <v>1837</v>
      </c>
      <c r="J369" s="184">
        <f ca="1">IFERROR(__xludf.DUMMYFUNCTION("IMPORTRANGE(""https://docs.google.com/spreadsheets/d/1tdoBKaGub7dwA3U6UFTqxio9LNnvDCQjHKmttSEBsFQ/edit?usp=sharing"",""จัดที่ดิน!AD19"")"),1870)</f>
        <v>1870</v>
      </c>
      <c r="K369" s="224">
        <f ca="1">IF(I369&gt;0,J369*100/I369,0)</f>
        <v>101.79640718562874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IFERROR(__xludf.DUMMYFUNCTION("IMPORTRANGE(""https://docs.google.com/spreadsheets/d/1tdoBKaGub7dwA3U6UFTqxio9LNnvDCQjHKmttSEBsFQ/edit?usp=sharing"",""จัดที่ดิน!AE19"")"),11929.2899999999)</f>
        <v>11929.289999999901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IFERROR(__xludf.DUMMYFUNCTION("IMPORTRANGE(""https://docs.google.com/spreadsheets/d/1eHaY18a8A9IcSdp1K8H6x8fbOy06t2VsZHhMHf-1x7Y/edit?usp=sharing"",""แผน!EY19"")"),1837)</f>
        <v>1837</v>
      </c>
      <c r="J371" s="184">
        <f ca="1">IFERROR(__xludf.DUMMYFUNCTION("IMPORTRANGE(""https://docs.google.com/spreadsheets/d/1tdoBKaGub7dwA3U6UFTqxio9LNnvDCQjHKmttSEBsFQ/edit?usp=sharing"",""จัดที่ดิน!AF19"")"),1871)</f>
        <v>1871</v>
      </c>
      <c r="K371" s="224">
        <f ca="1">IF(I371&gt;0,J371*100/I371,0)</f>
        <v>101.85084376701143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IFERROR(__xludf.DUMMYFUNCTION("IMPORTRANGE(""https://docs.google.com/spreadsheets/d/1tdoBKaGub7dwA3U6UFTqxio9LNnvDCQjHKmttSEBsFQ/edit?usp=sharing"",""จัดที่ดิน!AG19"")"),11942.21)</f>
        <v>11942.21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1000</v>
      </c>
      <c r="J374" s="660">
        <f ca="1">J386+J388</f>
        <v>194</v>
      </c>
      <c r="K374" s="659">
        <f ca="1">IF(I374&gt;0,J374*100/I374,0)</f>
        <v>19.399999999999999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62500</v>
      </c>
      <c r="R375" s="547">
        <f ca="1">R376+R377</f>
        <v>37500</v>
      </c>
      <c r="S375" s="547">
        <f ca="1">S376+S377</f>
        <v>0</v>
      </c>
      <c r="T375" s="547">
        <f ca="1">IF(Q375&gt;0,S375*100/Q375,0)</f>
        <v>0</v>
      </c>
      <c r="U375" s="547">
        <f ca="1">IF(R375&gt;0,S375*100/R375,0)</f>
        <v>0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37500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37500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IFERROR(__xludf.DUMMYFUNCTION("IMPORTRANGE(""https://docs.google.com/spreadsheets/d/1-uDff_7J0KD5mKrp0Vvzr7lt3OU09vwQwhkpOPPYv2Y/edit?usp=sharing"",""งบพรบ!IE19"")"),0)</f>
        <v>0</v>
      </c>
      <c r="M380" s="224">
        <f ca="1">IFERROR(__xludf.DUMMYFUNCTION("IMPORTRANGE(""https://docs.google.com/spreadsheets/d/1-uDff_7J0KD5mKrp0Vvzr7lt3OU09vwQwhkpOPPYv2Y/edit?usp=sharing"",""งบพรบ!IJ19"")"),0)</f>
        <v>0</v>
      </c>
      <c r="N380" s="224">
        <f ca="1">IFERROR(__xludf.DUMMYFUNCTION("IMPORTRANGE(""https://docs.google.com/spreadsheets/d/1-uDff_7J0KD5mKrp0Vvzr7lt3OU09vwQwhkpOPPYv2Y/edit?usp=sharing"",""งบพรบ!IL19"")"),0)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IFERROR(__xludf.DUMMYFUNCTION("IMPORTRANGE(""https://docs.google.com/spreadsheets/d/1ItG2mGa2ceCfYo0BwxsXqNm01IGEUdYcSSLTEv9YCik/edit?usp=sharing"",""เบิกจ่ายกองทุน!BW19"")"),62500)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IFERROR(__xludf.DUMMYFUNCTION("IMPORTRANGE(""https://docs.google.com/spreadsheets/d/1ItG2mGa2ceCfYo0BwxsXqNm01IGEUdYcSSLTEv9YCik/edit?usp=sharing"",""เบิกจ่ายกองทุน!BX19"")"),37500)</f>
        <v>37500</v>
      </c>
      <c r="S380" s="224">
        <f ca="1">IFERROR(__xludf.DUMMYFUNCTION("IMPORTRANGE(""https://docs.google.com/spreadsheets/d/1ItG2mGa2ceCfYo0BwxsXqNm01IGEUdYcSSLTEv9YCik/edit?usp=sharing"",""เบิกจ่ายกองทุน!BY19"")"),0)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IFERROR(__xludf.DUMMYFUNCTION("IMPORTRANGE(""https://docs.google.com/spreadsheets/d/1-uDff_7J0KD5mKrp0Vvzr7lt3OU09vwQwhkpOPPYv2Y/edit?usp=sharing"",""งบพรบ!IH19"")"),0)</f>
        <v>0</v>
      </c>
      <c r="M383" s="224">
        <f ca="1">IFERROR(__xludf.DUMMYFUNCTION("IMPORTRANGE(""https://docs.google.com/spreadsheets/d/1-uDff_7J0KD5mKrp0Vvzr7lt3OU09vwQwhkpOPPYv2Y/edit?usp=sharing"",""งบพรบ!IK19"")"),0)</f>
        <v>0</v>
      </c>
      <c r="N383" s="224">
        <f ca="1">IFERROR(__xludf.DUMMYFUNCTION("IMPORTRANGE(""https://docs.google.com/spreadsheets/d/1-uDff_7J0KD5mKrp0Vvzr7lt3OU09vwQwhkpOPPYv2Y/edit?usp=sharing"",""งบพรบ!IM19"")"),0)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IFERROR(__xludf.DUMMYFUNCTION("IMPORTRANGE(""https://docs.google.com/spreadsheets/d/1w5rwWK1o49a35cNtocGL0gxDwhFSTZUQu90BiH9_zqM/edit?usp=sharing"",""RTK!H19"")"),20)</f>
        <v>20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IFERROR(__xludf.DUMMYFUNCTION("IMPORTRANGE(""https://docs.google.com/spreadsheets/d/1w5rwWK1o49a35cNtocGL0gxDwhFSTZUQu90BiH9_zqM/edit?usp=sharing"",""RTK!G19"")"),1000)</f>
        <v>1000</v>
      </c>
      <c r="J386" s="184">
        <f ca="1">IFERROR(__xludf.DUMMYFUNCTION("IMPORTRANGE(""https://docs.google.com/spreadsheets/d/1w5rwWK1o49a35cNtocGL0gxDwhFSTZUQu90BiH9_zqM/edit?usp=sharing"",""RTK!I19"")"),194)</f>
        <v>194</v>
      </c>
      <c r="K386" s="224">
        <f ca="1">IF(I386&gt;0,J386*100/I386,0)</f>
        <v>19.399999999999999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hidden="1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IFERROR(__xludf.DUMMYFUNCTION("IMPORTRANGE(""https://docs.google.com/spreadsheets/d/1w5rwWK1o49a35cNtocGL0gxDwhFSTZUQu90BiH9_zqM/edit?usp=sharing"",""RTK!L19"")"),0)</f>
        <v>0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hidden="1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IFERROR(__xludf.DUMMYFUNCTION("IMPORTRANGE(""https://docs.google.com/spreadsheets/d/1w5rwWK1o49a35cNtocGL0gxDwhFSTZUQu90BiH9_zqM/edit?usp=sharing"",""RTK!K19"")"),0)</f>
        <v>0</v>
      </c>
      <c r="J388" s="559">
        <f ca="1">IFERROR(__xludf.DUMMYFUNCTION("IMPORTRANGE(""https://docs.google.com/spreadsheets/d/1w5rwWK1o49a35cNtocGL0gxDwhFSTZUQu90BiH9_zqM/edit?usp=sharing"",""RTK!M19"")"),0)</f>
        <v>0</v>
      </c>
      <c r="K388" s="558">
        <f ca="1">IF(I388&gt;0,J388*100/I388,0)</f>
        <v>0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IFERROR(__xludf.DUMMYFUNCTION("IMPORTRANGE(""https://docs.google.com/spreadsheets/d/1ItG2mGa2ceCfYo0BwxsXqNm01IGEUdYcSSLTEv9YCik/edit?usp=sharing"",""เบิกจ่ายกองทุน!CL19"")"),0)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IFERROR(__xludf.DUMMYFUNCTION("IMPORTRANGE(""https://docs.google.com/spreadsheets/d/1ItG2mGa2ceCfYo0BwxsXqNm01IGEUdYcSSLTEv9YCik/edit?usp=sharing"",""เบิกจ่ายกองทุน!CM19"")"),0)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IFERROR(__xludf.DUMMYFUNCTION("IMPORTRANGE(""https://docs.google.com/spreadsheets/d/1ItG2mGa2ceCfYo0BwxsXqNm01IGEUdYcSSLTEv9YCik/edit?usp=sharing"",""เบิกจ่ายกองทุน!CN19"")"),0)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211550</v>
      </c>
      <c r="M413" s="547">
        <f ca="1">M414+M415</f>
        <v>211550</v>
      </c>
      <c r="N413" s="547">
        <f ca="1">N414+N415</f>
        <v>74873</v>
      </c>
      <c r="O413" s="547">
        <f ca="1">IF(L413&gt;0,N413*100/L413,0)</f>
        <v>35.392578586622548</v>
      </c>
      <c r="P413" s="547">
        <f ca="1">IF(M413&gt;0,N413*100/M413,0)</f>
        <v>35.392578586622548</v>
      </c>
      <c r="Q413" s="547">
        <f ca="1">Q414+Q415</f>
        <v>29160</v>
      </c>
      <c r="R413" s="547">
        <f ca="1">R414+R415</f>
        <v>29160</v>
      </c>
      <c r="S413" s="547">
        <f ca="1">S414+S415</f>
        <v>0</v>
      </c>
      <c r="T413" s="547">
        <f ca="1">IF(Q413&gt;0,S413*100/Q413,0)</f>
        <v>0</v>
      </c>
      <c r="U413" s="547">
        <f ca="1">IF(R413&gt;0,S413*100/R413,0)</f>
        <v>0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211550</v>
      </c>
      <c r="M415" s="224">
        <f ca="1">M418+M421</f>
        <v>211550</v>
      </c>
      <c r="N415" s="224">
        <f ca="1">N418+N421</f>
        <v>74873</v>
      </c>
      <c r="O415" s="224">
        <f ca="1">IF(L415&gt;0,N415*100/L415,0)</f>
        <v>35.392578586622548</v>
      </c>
      <c r="P415" s="224">
        <f ca="1">IF(M415&gt;0,N415*100/M415,0)</f>
        <v>35.392578586622548</v>
      </c>
      <c r="Q415" s="224">
        <f ca="1">Q418+Q421</f>
        <v>29160</v>
      </c>
      <c r="R415" s="224">
        <f ca="1">R418+R421</f>
        <v>29160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211550</v>
      </c>
      <c r="M416" s="224">
        <f ca="1">M417+M418</f>
        <v>211550</v>
      </c>
      <c r="N416" s="224">
        <f ca="1">N417+N418</f>
        <v>74873</v>
      </c>
      <c r="O416" s="224">
        <f ca="1">IF(L416&gt;0,N416*100/L416,0)</f>
        <v>35.392578586622548</v>
      </c>
      <c r="P416" s="224">
        <f ca="1">IF(M416&gt;0,N416*100/M416,0)</f>
        <v>35.392578586622548</v>
      </c>
      <c r="Q416" s="224">
        <f ca="1">Q417+Q418</f>
        <v>29160</v>
      </c>
      <c r="R416" s="224">
        <f ca="1">R417+R418</f>
        <v>29160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IFERROR(__xludf.DUMMYFUNCTION("IMPORTRANGE(""https://docs.google.com/spreadsheets/d/1-uDff_7J0KD5mKrp0Vvzr7lt3OU09vwQwhkpOPPYv2Y/edit?usp=sharing"",""งบพรบ!IO19"")"),211550)</f>
        <v>211550</v>
      </c>
      <c r="M418" s="224">
        <f ca="1">IFERROR(__xludf.DUMMYFUNCTION("IMPORTRANGE(""https://docs.google.com/spreadsheets/d/1-uDff_7J0KD5mKrp0Vvzr7lt3OU09vwQwhkpOPPYv2Y/edit?usp=sharing"",""งบพรบ!IT19"")"),211550)</f>
        <v>211550</v>
      </c>
      <c r="N418" s="224">
        <f ca="1">IFERROR(__xludf.DUMMYFUNCTION("IMPORTRANGE(""https://docs.google.com/spreadsheets/d/1-uDff_7J0KD5mKrp0Vvzr7lt3OU09vwQwhkpOPPYv2Y/edit?usp=sharing"",""งบพรบ!IV19"")"),74873)</f>
        <v>74873</v>
      </c>
      <c r="O418" s="224">
        <f ca="1">IF(L418&gt;0,N418*100/L418,0)</f>
        <v>35.392578586622548</v>
      </c>
      <c r="P418" s="224">
        <f ca="1">IF(M418&gt;0,N418*100/M418,0)</f>
        <v>35.392578586622548</v>
      </c>
      <c r="Q418" s="224">
        <f ca="1">IFERROR(__xludf.DUMMYFUNCTION("IMPORTRANGE(""https://docs.google.com/spreadsheets/d/1ItG2mGa2ceCfYo0BwxsXqNm01IGEUdYcSSLTEv9YCik/edit?usp=sharing"",""เบิกจ่ายกองทุน!BZ19"")"),29160)</f>
        <v>29160</v>
      </c>
      <c r="R418" s="224">
        <f ca="1">IFERROR(__xludf.DUMMYFUNCTION("IMPORTRANGE(""https://docs.google.com/spreadsheets/d/1ItG2mGa2ceCfYo0BwxsXqNm01IGEUdYcSSLTEv9YCik/edit?usp=sharing"",""เบิกจ่ายกองทุน!CA19"")"),29160)</f>
        <v>29160</v>
      </c>
      <c r="S418" s="224">
        <f ca="1">IFERROR(__xludf.DUMMYFUNCTION("IMPORTRANGE(""https://docs.google.com/spreadsheets/d/1ItG2mGa2ceCfYo0BwxsXqNm01IGEUdYcSSLTEv9YCik/edit?usp=sharing"",""เบิกจ่ายกองทุน!CB19"")"),0)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IFERROR(__xludf.DUMMYFUNCTION("IMPORTRANGE(""https://docs.google.com/spreadsheets/d/1-uDff_7J0KD5mKrp0Vvzr7lt3OU09vwQwhkpOPPYv2Y/edit?usp=sharing"",""งบพรบ!IR19"")"),0)</f>
        <v>0</v>
      </c>
      <c r="M421" s="224">
        <f ca="1">IFERROR(__xludf.DUMMYFUNCTION("IMPORTRANGE(""https://docs.google.com/spreadsheets/d/1-uDff_7J0KD5mKrp0Vvzr7lt3OU09vwQwhkpOPPYv2Y/edit?usp=sharing"",""งบพรบ!IU19"")"),0)</f>
        <v>0</v>
      </c>
      <c r="N421" s="224">
        <f ca="1">IFERROR(__xludf.DUMMYFUNCTION("IMPORTRANGE(""https://docs.google.com/spreadsheets/d/1-uDff_7J0KD5mKrp0Vvzr7lt3OU09vwQwhkpOPPYv2Y/edit?usp=sharing"",""งบพรบ!IW19"")"),0)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IFERROR(__xludf.DUMMYFUNCTION("IMPORTRANGE(""https://docs.google.com/spreadsheets/d/1eHaY18a8A9IcSdp1K8H6x8fbOy06t2VsZHhMHf-1x7Y/edit?usp=sharing"",""แผน!HJ19"")"),0)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IFERROR(__xludf.DUMMYFUNCTION("IMPORTRANGE(""https://docs.google.com/spreadsheets/d/1eHaY18a8A9IcSdp1K8H6x8fbOy06t2VsZHhMHf-1x7Y/edit?usp=sharing"",""แผน!HK19"")"),0)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IFERROR(__xludf.DUMMYFUNCTION("IMPORTRANGE(""https://docs.google.com/spreadsheets/d/1eHaY18a8A9IcSdp1K8H6x8fbOy06t2VsZHhMHf-1x7Y/edit?usp=sharing"",""แผน!HJ19"")"),0)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IFERROR(__xludf.DUMMYFUNCTION("IMPORTRANGE(""https://docs.google.com/spreadsheets/d/1eHaY18a8A9IcSdp1K8H6x8fbOy06t2VsZHhMHf-1x7Y/edit?usp=sharing"",""แผน!HK19"")"),0)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IFERROR(__xludf.DUMMYFUNCTION("IMPORTRANGE(""https://docs.google.com/spreadsheets/d/1eHaY18a8A9IcSdp1K8H6x8fbOy06t2VsZHhMHf-1x7Y/edit?usp=sharing"",""แผน!HJ19"")"),0)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IFERROR(__xludf.DUMMYFUNCTION("IMPORTRANGE(""https://docs.google.com/spreadsheets/d/1eHaY18a8A9IcSdp1K8H6x8fbOy06t2VsZHhMHf-1x7Y/edit?usp=sharing"",""แผน!HK19"")"),0)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2722.88</v>
      </c>
      <c r="J456" s="648">
        <f>J457</f>
        <v>2722</v>
      </c>
      <c r="K456" s="578">
        <f ca="1">IF(I456&gt;0,J456*100/I456,0)</f>
        <v>99.96768127864614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IFERROR(__xludf.DUMMYFUNCTION("IMPORTRANGE(""https://docs.google.com/spreadsheets/d/1eHaY18a8A9IcSdp1K8H6x8fbOy06t2VsZHhMHf-1x7Y/edit?usp=sharing"",""แผน!HL19"")"),2722.88)</f>
        <v>2722.88</v>
      </c>
      <c r="J457" s="650">
        <f>J459+J467+J473</f>
        <v>2722</v>
      </c>
      <c r="K457" s="547">
        <f ca="1">IF(I457&gt;0,J457*100/I457,0)</f>
        <v>99.96768127864614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IFERROR(__xludf.DUMMYFUNCTION("IMPORTRANGE(""https://docs.google.com/spreadsheets/d/1eHaY18a8A9IcSdp1K8H6x8fbOy06t2VsZHhMHf-1x7Y/edit?usp=sharing"",""แผน!HM19"")"),575)</f>
        <v>575</v>
      </c>
      <c r="J458" s="650">
        <f>J460+J468+J474</f>
        <v>575</v>
      </c>
      <c r="K458" s="547">
        <f ca="1">IF(I458&gt;0,J458*100/I458,0)</f>
        <v>100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2669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565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2393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505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276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60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53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10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53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10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IFERROR(__xludf.DUMMYFUNCTION("IMPORTRANGE(""https://docs.google.com/spreadsheets/d/1-uDff_7J0KD5mKrp0Vvzr7lt3OU09vwQwhkpOPPYv2Y/edit?usp=sharing"",""งบพรบ!HU19"")"),0)</f>
        <v>0</v>
      </c>
      <c r="M498" s="224">
        <f ca="1">IFERROR(__xludf.DUMMYFUNCTION("IMPORTRANGE(""https://docs.google.com/spreadsheets/d/1-uDff_7J0KD5mKrp0Vvzr7lt3OU09vwQwhkpOPPYv2Y/edit?usp=sharing"",""งบพรบ!HZ19"")"),0)</f>
        <v>0</v>
      </c>
      <c r="N498" s="224">
        <f ca="1">IFERROR(__xludf.DUMMYFUNCTION("IMPORTRANGE(""https://docs.google.com/spreadsheets/d/1-uDff_7J0KD5mKrp0Vvzr7lt3OU09vwQwhkpOPPYv2Y/edit?usp=sharing"",""งบพรบ!IB19"")"),0)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IFERROR(__xludf.DUMMYFUNCTION("IMPORTRANGE(""https://docs.google.com/spreadsheets/d/1ItG2mGa2ceCfYo0BwxsXqNm01IGEUdYcSSLTEv9YCik/edit?usp=sharing"",""เบิกจ่ายกองทุน!AD19"")"),0)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IFERROR(__xludf.DUMMYFUNCTION("IMPORTRANGE(""https://docs.google.com/spreadsheets/d/1ItG2mGa2ceCfYo0BwxsXqNm01IGEUdYcSSLTEv9YCik/edit?usp=sharing"",""เบิกจ่ายกองทุน!AE19"")"),0)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IFERROR(__xludf.DUMMYFUNCTION("IMPORTRANGE(""https://docs.google.com/spreadsheets/d/1ItG2mGa2ceCfYo0BwxsXqNm01IGEUdYcSSLTEv9YCik/edit?usp=sharing"",""เบิกจ่ายกองทุน!AF19"")"),0)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IFERROR(__xludf.DUMMYFUNCTION("IMPORTRANGE(""https://docs.google.com/spreadsheets/d/1-uDff_7J0KD5mKrp0Vvzr7lt3OU09vwQwhkpOPPYv2Y/edit?usp=sharing"",""งบพรบ!HX19"")"),0)</f>
        <v>0</v>
      </c>
      <c r="M501" s="224">
        <f ca="1">IFERROR(__xludf.DUMMYFUNCTION("IMPORTRANGE(""https://docs.google.com/spreadsheets/d/1-uDff_7J0KD5mKrp0Vvzr7lt3OU09vwQwhkpOPPYv2Y/edit?usp=sharing"",""งบพรบ!IA19"")"),0)</f>
        <v>0</v>
      </c>
      <c r="N501" s="224">
        <f ca="1">IFERROR(__xludf.DUMMYFUNCTION("IMPORTRANGE(""https://docs.google.com/spreadsheets/d/1-uDff_7J0KD5mKrp0Vvzr7lt3OU09vwQwhkpOPPYv2Y/edit?usp=sharing"",""งบพรบ!IC19"")"),0)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IFERROR(__xludf.DUMMYFUNCTION("IMPORTRANGE(""https://docs.google.com/spreadsheets/d/1eHaY18a8A9IcSdp1K8H6x8fbOy06t2VsZHhMHf-1x7Y/edit?usp=sharing"",""แผน!GX19"")"),0)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IFERROR(__xludf.DUMMYFUNCTION("IMPORTRANGE(""https://docs.google.com/spreadsheets/d/1eHaY18a8A9IcSdp1K8H6x8fbOy06t2VsZHhMHf-1x7Y/edit?usp=sharing"",""แผน!GY19"")"),0)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IFERROR(__xludf.DUMMYFUNCTION("IMPORTRANGE(""https://docs.google.com/spreadsheets/d/1eHaY18a8A9IcSdp1K8H6x8fbOy06t2VsZHhMHf-1x7Y/edit?usp=sharing"",""แผน!GZ19"")"),0)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IFERROR(__xludf.DUMMYFUNCTION("IMPORTRANGE(""https://docs.google.com/spreadsheets/d/1eHaY18a8A9IcSdp1K8H6x8fbOy06t2VsZHhMHf-1x7Y/edit?usp=sharing"",""แผน!HA19"")"),0)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IFERROR(__xludf.DUMMYFUNCTION("IMPORTRANGE(""https://docs.google.com/spreadsheets/d/1eHaY18a8A9IcSdp1K8H6x8fbOy06t2VsZHhMHf-1x7Y/edit?usp=sharing"",""แผน!HB19"")"),0)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IFERROR(__xludf.DUMMYFUNCTION("IMPORTRANGE(""https://docs.google.com/spreadsheets/d/1eHaY18a8A9IcSdp1K8H6x8fbOy06t2VsZHhMHf-1x7Y/edit?usp=sharing"",""แผน!HC19"")"),0)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IFERROR(__xludf.DUMMYFUNCTION("IMPORTRANGE(""https://docs.google.com/spreadsheets/d/1-uDff_7J0KD5mKrp0Vvzr7lt3OU09vwQwhkpOPPYv2Y/edit?usp=sharing"",""งบพรบ!FM19"")"),0)</f>
        <v>0</v>
      </c>
      <c r="M518" s="224">
        <f ca="1">IFERROR(__xludf.DUMMYFUNCTION("IMPORTRANGE(""https://docs.google.com/spreadsheets/d/1-uDff_7J0KD5mKrp0Vvzr7lt3OU09vwQwhkpOPPYv2Y/edit?usp=sharing"",""งบพรบ!FR19"")"),0)</f>
        <v>0</v>
      </c>
      <c r="N518" s="224">
        <f ca="1">IFERROR(__xludf.DUMMYFUNCTION("IMPORTRANGE(""https://docs.google.com/spreadsheets/d/1-uDff_7J0KD5mKrp0Vvzr7lt3OU09vwQwhkpOPPYv2Y/edit?usp=sharing"",""งบพรบ!FT19"")"),0)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IFERROR(__xludf.DUMMYFUNCTION("IMPORTRANGE(""https://docs.google.com/spreadsheets/d/1-uDff_7J0KD5mKrp0Vvzr7lt3OU09vwQwhkpOPPYv2Y/edit?usp=sharing"",""งบพรบ!FP19"")"),0)</f>
        <v>0</v>
      </c>
      <c r="M521" s="224">
        <f ca="1">IFERROR(__xludf.DUMMYFUNCTION("IMPORTRANGE(""https://docs.google.com/spreadsheets/d/1-uDff_7J0KD5mKrp0Vvzr7lt3OU09vwQwhkpOPPYv2Y/edit?usp=sharing"",""งบพรบ!FS19"")"),0)</f>
        <v>0</v>
      </c>
      <c r="N521" s="224">
        <f ca="1">IFERROR(__xludf.DUMMYFUNCTION("IMPORTRANGE(""https://docs.google.com/spreadsheets/d/1-uDff_7J0KD5mKrp0Vvzr7lt3OU09vwQwhkpOPPYv2Y/edit?usp=sharing"",""งบพรบ!FU19"")"),0)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365">
        <f>I544</f>
        <v>1</v>
      </c>
      <c r="J533" s="365">
        <f>J544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x14ac:dyDescent="0.3">
      <c r="A534" s="128"/>
      <c r="B534" s="40"/>
      <c r="C534" s="374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1934000</v>
      </c>
      <c r="M534" s="547">
        <f ca="1">M535+M536</f>
        <v>1934000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1934000</v>
      </c>
      <c r="M536" s="224">
        <f ca="1">M539+M542</f>
        <v>1934000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IFERROR(__xludf.DUMMYFUNCTION("IMPORTRANGE(""https://docs.google.com/spreadsheets/d/1-uDff_7J0KD5mKrp0Vvzr7lt3OU09vwQwhkpOPPYv2Y/edit?usp=sharing"",""งบพรบ!FW19"")"),0)</f>
        <v>0</v>
      </c>
      <c r="M539" s="224">
        <f ca="1">IFERROR(__xludf.DUMMYFUNCTION("IMPORTRANGE(""https://docs.google.com/spreadsheets/d/1-uDff_7J0KD5mKrp0Vvzr7lt3OU09vwQwhkpOPPYv2Y/edit?usp=sharing"",""งบพรบ!GB19"")"),0)</f>
        <v>0</v>
      </c>
      <c r="N539" s="224">
        <f ca="1">IFERROR(__xludf.DUMMYFUNCTION("IMPORTRANGE(""https://docs.google.com/spreadsheets/d/1-uDff_7J0KD5mKrp0Vvzr7lt3OU09vwQwhkpOPPYv2Y/edit?usp=sharing"",""งบพรบ!GD19"")"),0)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1934000</v>
      </c>
      <c r="M540" s="224">
        <f ca="1">M541+M542</f>
        <v>1934000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IFERROR(__xludf.DUMMYFUNCTION("IMPORTRANGE(""https://docs.google.com/spreadsheets/d/1-uDff_7J0KD5mKrp0Vvzr7lt3OU09vwQwhkpOPPYv2Y/edit?usp=sharing"",""งบพรบ!FZ19"")"),1934000)</f>
        <v>1934000</v>
      </c>
      <c r="M542" s="224">
        <f ca="1">IFERROR(__xludf.DUMMYFUNCTION("IMPORTRANGE(""https://docs.google.com/spreadsheets/d/1-uDff_7J0KD5mKrp0Vvzr7lt3OU09vwQwhkpOPPYv2Y/edit?usp=sharing"",""งบพรบ!GC19"")"),1934000)</f>
        <v>1934000</v>
      </c>
      <c r="N542" s="224">
        <f ca="1">IFERROR(__xludf.DUMMYFUNCTION("IMPORTRANGE(""https://docs.google.com/spreadsheets/d/1-uDff_7J0KD5mKrp0Vvzr7lt3OU09vwQwhkpOPPYv2Y/edit?usp=sharing"",""งบพรบ!GE19"")"),0)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208"/>
      <c r="B544" s="40"/>
      <c r="C544" s="158"/>
      <c r="D544" s="557" t="s">
        <v>213</v>
      </c>
      <c r="E544" s="158"/>
      <c r="F544" s="40"/>
      <c r="G544" s="42"/>
      <c r="H544" s="175" t="s">
        <v>61</v>
      </c>
      <c r="I544" s="166">
        <v>1</v>
      </c>
      <c r="J544" s="167">
        <v>0</v>
      </c>
      <c r="K544" s="46">
        <f>IF(I544&gt;0,J544*100/I544,0)</f>
        <v>0</v>
      </c>
      <c r="L544" s="543"/>
      <c r="M544" s="45"/>
      <c r="N544" s="45"/>
      <c r="O544" s="45"/>
      <c r="P544" s="45"/>
      <c r="Q544" s="45"/>
      <c r="R544" s="45"/>
      <c r="S544" s="45"/>
      <c r="T544" s="45"/>
      <c r="U544" s="45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1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4870000</v>
      </c>
      <c r="M555" s="547">
        <f ca="1">M556+M557</f>
        <v>4872400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4870000</v>
      </c>
      <c r="M557" s="224">
        <f ca="1">M560+M563</f>
        <v>4872400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2400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IFERROR(__xludf.DUMMYFUNCTION("IMPORTRANGE(""https://docs.google.com/spreadsheets/d/1-uDff_7J0KD5mKrp0Vvzr7lt3OU09vwQwhkpOPPYv2Y/edit?usp=sharing"",""งบพรบ!GG19"")"),0)</f>
        <v>0</v>
      </c>
      <c r="M560" s="224">
        <f ca="1">IFERROR(__xludf.DUMMYFUNCTION("IMPORTRANGE(""https://docs.google.com/spreadsheets/d/1-uDff_7J0KD5mKrp0Vvzr7lt3OU09vwQwhkpOPPYv2Y/edit?usp=sharing"",""งบพรบ!GL19"")"),2400)</f>
        <v>2400</v>
      </c>
      <c r="N560" s="224">
        <f ca="1">IFERROR(__xludf.DUMMYFUNCTION("IMPORTRANGE(""https://docs.google.com/spreadsheets/d/1-uDff_7J0KD5mKrp0Vvzr7lt3OU09vwQwhkpOPPYv2Y/edit?usp=sharing"",""งบพรบ!GN19"")"),0)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4870000</v>
      </c>
      <c r="M561" s="224">
        <f ca="1">M562+M563</f>
        <v>4870000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IFERROR(__xludf.DUMMYFUNCTION("IMPORTRANGE(""https://docs.google.com/spreadsheets/d/1-uDff_7J0KD5mKrp0Vvzr7lt3OU09vwQwhkpOPPYv2Y/edit?usp=sharing"",""งบพรบ!GJ19"")"),4870000)</f>
        <v>4870000</v>
      </c>
      <c r="M563" s="224">
        <f ca="1">IFERROR(__xludf.DUMMYFUNCTION("IMPORTRANGE(""https://docs.google.com/spreadsheets/d/1-uDff_7J0KD5mKrp0Vvzr7lt3OU09vwQwhkpOPPYv2Y/edit?usp=sharing"",""งบพรบ!GM19"")"),4870000)</f>
        <v>4870000</v>
      </c>
      <c r="N563" s="224">
        <f ca="1">IFERROR(__xludf.DUMMYFUNCTION("IMPORTRANGE(""https://docs.google.com/spreadsheets/d/1-uDff_7J0KD5mKrp0Vvzr7lt3OU09vwQwhkpOPPYv2Y/edit?usp=sharing"",""งบพรบ!GO19"")"),0)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306"/>
      <c r="B565" s="307"/>
      <c r="C565" s="308"/>
      <c r="D565" s="309" t="s">
        <v>216</v>
      </c>
      <c r="E565" s="308"/>
      <c r="F565" s="307"/>
      <c r="G565" s="310"/>
      <c r="H565" s="311" t="s">
        <v>14</v>
      </c>
      <c r="I565" s="313">
        <v>1</v>
      </c>
      <c r="J565" s="377">
        <v>0</v>
      </c>
      <c r="K565" s="376">
        <f>IF(I565&gt;0,J565*100/I565,0)</f>
        <v>0</v>
      </c>
      <c r="L565" s="314"/>
      <c r="M565" s="314"/>
      <c r="N565" s="314"/>
      <c r="O565" s="314"/>
      <c r="P565" s="314"/>
      <c r="Q565" s="314"/>
      <c r="R565" s="314"/>
      <c r="S565" s="314"/>
      <c r="T565" s="314"/>
      <c r="U565" s="314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20</v>
      </c>
      <c r="J575" s="365">
        <f>J587</f>
        <v>7</v>
      </c>
      <c r="K575" s="602">
        <f>IF(I575&gt;0,J575*100/I575,0)</f>
        <v>35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907760</v>
      </c>
      <c r="M576" s="547">
        <f ca="1">M577+M578</f>
        <v>907760</v>
      </c>
      <c r="N576" s="547">
        <f ca="1">N577+N578</f>
        <v>75790</v>
      </c>
      <c r="O576" s="547">
        <f ca="1">IF(L576&gt;0,N576*100/L576,0)</f>
        <v>8.3491231162421791</v>
      </c>
      <c r="P576" s="547">
        <f ca="1">IF(M576&gt;0,N576*100/M576,0)</f>
        <v>8.3491231162421791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907760</v>
      </c>
      <c r="M578" s="224">
        <f ca="1">M581+M584</f>
        <v>907760</v>
      </c>
      <c r="N578" s="224">
        <f ca="1">N581+N584</f>
        <v>75790</v>
      </c>
      <c r="O578" s="224">
        <f ca="1">IF(L578&gt;0,N578*100/L578,0)</f>
        <v>8.3491231162421791</v>
      </c>
      <c r="P578" s="224">
        <f ca="1">IF(M578&gt;0,N578*100/M578,0)</f>
        <v>8.3491231162421791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907760</v>
      </c>
      <c r="M579" s="224">
        <f ca="1">M580+M581</f>
        <v>907760</v>
      </c>
      <c r="N579" s="224">
        <f ca="1">N580+N581</f>
        <v>75790</v>
      </c>
      <c r="O579" s="224">
        <f ca="1">IF(L579&gt;0,N579*100/L579,0)</f>
        <v>8.3491231162421791</v>
      </c>
      <c r="P579" s="224">
        <f ca="1">IF(M579&gt;0,N579*100/M579,0)</f>
        <v>8.3491231162421791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IFERROR(__xludf.DUMMYFUNCTION("IMPORTRANGE(""https://docs.google.com/spreadsheets/d/1-uDff_7J0KD5mKrp0Vvzr7lt3OU09vwQwhkpOPPYv2Y/edit?usp=sharing"",""งบพรบ!GQ19"")"),907760)</f>
        <v>907760</v>
      </c>
      <c r="M581" s="224">
        <f ca="1">IFERROR(__xludf.DUMMYFUNCTION("IMPORTRANGE(""https://docs.google.com/spreadsheets/d/1-uDff_7J0KD5mKrp0Vvzr7lt3OU09vwQwhkpOPPYv2Y/edit?usp=sharing"",""งบพรบ!GV19"")"),907760)</f>
        <v>907760</v>
      </c>
      <c r="N581" s="224">
        <f ca="1">IFERROR(__xludf.DUMMYFUNCTION("IMPORTRANGE(""https://docs.google.com/spreadsheets/d/1-uDff_7J0KD5mKrp0Vvzr7lt3OU09vwQwhkpOPPYv2Y/edit?usp=sharing"",""งบพรบ!GX19"")"),75790)</f>
        <v>75790</v>
      </c>
      <c r="O581" s="224">
        <f ca="1">IF(L581&gt;0,N581*100/L581,0)</f>
        <v>8.3491231162421791</v>
      </c>
      <c r="P581" s="224">
        <f ca="1">IF(M581&gt;0,N581*100/M581,0)</f>
        <v>8.3491231162421791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IFERROR(__xludf.DUMMYFUNCTION("IMPORTRANGE(""https://docs.google.com/spreadsheets/d/1-uDff_7J0KD5mKrp0Vvzr7lt3OU09vwQwhkpOPPYv2Y/edit?usp=sharing"",""งบพรบ!GT19"")"),0)</f>
        <v>0</v>
      </c>
      <c r="M584" s="224">
        <f ca="1">IFERROR(__xludf.DUMMYFUNCTION("IMPORTRANGE(""https://docs.google.com/spreadsheets/d/1-uDff_7J0KD5mKrp0Vvzr7lt3OU09vwQwhkpOPPYv2Y/edit?usp=sharing"",""งบพรบ!GW19"")"),0)</f>
        <v>0</v>
      </c>
      <c r="N584" s="224">
        <f ca="1">IFERROR(__xludf.DUMMYFUNCTION("IMPORTRANGE(""https://docs.google.com/spreadsheets/d/1-uDff_7J0KD5mKrp0Vvzr7lt3OU09vwQwhkpOPPYv2Y/edit?usp=sharing"",""งบพรบ!GY19"")"),0)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6</v>
      </c>
      <c r="J586" s="377">
        <v>6</v>
      </c>
      <c r="K586" s="376">
        <f>IF(I586&gt;0,J586*100/I586,0)</f>
        <v>100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20</v>
      </c>
      <c r="J587" s="380">
        <v>7</v>
      </c>
      <c r="K587" s="224">
        <f>IF(I587&gt;0,J587*100/I587,0)</f>
        <v>35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x14ac:dyDescent="0.3">
      <c r="A596" s="381" t="s">
        <v>220</v>
      </c>
      <c r="B596" s="382"/>
      <c r="C596" s="383"/>
      <c r="D596" s="382"/>
      <c r="E596" s="382"/>
      <c r="F596" s="382"/>
      <c r="G596" s="382"/>
      <c r="H596" s="384"/>
      <c r="I596" s="385"/>
      <c r="J596" s="385"/>
      <c r="K596" s="386"/>
      <c r="L596" s="387"/>
      <c r="M596" s="387"/>
      <c r="N596" s="387"/>
      <c r="O596" s="387"/>
      <c r="P596" s="387"/>
      <c r="Q596" s="387"/>
      <c r="R596" s="387"/>
      <c r="S596" s="387"/>
      <c r="T596" s="387"/>
      <c r="U596" s="387"/>
    </row>
    <row r="597" spans="1:21" ht="19.5" x14ac:dyDescent="0.3">
      <c r="A597" s="388"/>
      <c r="B597" s="389" t="s">
        <v>221</v>
      </c>
      <c r="C597" s="390"/>
      <c r="D597" s="391"/>
      <c r="E597" s="392"/>
      <c r="F597" s="392"/>
      <c r="G597" s="392"/>
      <c r="H597" s="393" t="s">
        <v>99</v>
      </c>
      <c r="I597" s="394"/>
      <c r="J597" s="395"/>
      <c r="K597" s="396"/>
      <c r="L597" s="829"/>
      <c r="M597" s="396"/>
      <c r="N597" s="396"/>
      <c r="O597" s="396"/>
      <c r="P597" s="396"/>
      <c r="Q597" s="396"/>
      <c r="R597" s="396"/>
      <c r="S597" s="396"/>
      <c r="T597" s="396"/>
      <c r="U597" s="396"/>
    </row>
    <row r="598" spans="1:21" ht="19.5" x14ac:dyDescent="0.3">
      <c r="A598" s="397"/>
      <c r="B598" s="398" t="s">
        <v>222</v>
      </c>
      <c r="C598" s="391"/>
      <c r="D598" s="392"/>
      <c r="E598" s="392"/>
      <c r="F598" s="392"/>
      <c r="G598" s="399"/>
      <c r="H598" s="400" t="s">
        <v>35</v>
      </c>
      <c r="I598" s="395"/>
      <c r="J598" s="395"/>
      <c r="K598" s="396"/>
      <c r="L598" s="829"/>
      <c r="M598" s="396"/>
      <c r="N598" s="396"/>
      <c r="O598" s="396"/>
      <c r="P598" s="396"/>
      <c r="Q598" s="396"/>
      <c r="R598" s="396"/>
      <c r="S598" s="396"/>
      <c r="T598" s="396"/>
      <c r="U598" s="396"/>
    </row>
    <row r="599" spans="1:21" ht="19.5" x14ac:dyDescent="0.3">
      <c r="A599" s="401"/>
      <c r="B599" s="402"/>
      <c r="C599" s="374" t="s">
        <v>18</v>
      </c>
      <c r="D599" s="525" t="s">
        <v>19</v>
      </c>
      <c r="E599" s="526"/>
      <c r="F599" s="526"/>
      <c r="G599" s="527"/>
      <c r="H599" s="405" t="s">
        <v>14</v>
      </c>
      <c r="I599" s="406"/>
      <c r="J599" s="406"/>
      <c r="K599" s="407"/>
      <c r="L599" s="716">
        <f ca="1">L600+L601</f>
        <v>10566</v>
      </c>
      <c r="M599" s="715">
        <f ca="1">M600+M601</f>
        <v>10566</v>
      </c>
      <c r="N599" s="715">
        <f ca="1">N600+N601</f>
        <v>1480</v>
      </c>
      <c r="O599" s="715">
        <f ca="1">IF(L599&gt;0,N599*100/L599,0)</f>
        <v>14.007192882831724</v>
      </c>
      <c r="P599" s="715">
        <f ca="1">IF(M599&gt;0,N599*100/M599,0)</f>
        <v>14.007192882831724</v>
      </c>
      <c r="Q599" s="715">
        <f ca="1">Q600+Q601</f>
        <v>0</v>
      </c>
      <c r="R599" s="715">
        <f ca="1">R600+R601</f>
        <v>0</v>
      </c>
      <c r="S599" s="715">
        <f ca="1">S600+S601</f>
        <v>0</v>
      </c>
      <c r="T599" s="715">
        <f ca="1">IF(Q599&gt;0,S599*100/Q599,0)</f>
        <v>0</v>
      </c>
      <c r="U599" s="715">
        <f ca="1">IF(R599&gt;0,S599*100/R599,0)</f>
        <v>0</v>
      </c>
    </row>
    <row r="600" spans="1:21" ht="18.75" hidden="1" x14ac:dyDescent="0.25">
      <c r="A600" s="401"/>
      <c r="B600" s="402"/>
      <c r="C600" s="402"/>
      <c r="D600" s="409"/>
      <c r="E600" s="410" t="s">
        <v>162</v>
      </c>
      <c r="F600" s="411"/>
      <c r="G600" s="412"/>
      <c r="H600" s="413" t="s">
        <v>14</v>
      </c>
      <c r="I600" s="406"/>
      <c r="J600" s="406"/>
      <c r="K600" s="407"/>
      <c r="L600" s="706">
        <f>L603+L606</f>
        <v>0</v>
      </c>
      <c r="M600" s="558">
        <f>M603+M606</f>
        <v>0</v>
      </c>
      <c r="N600" s="558">
        <f>N603+N606</f>
        <v>0</v>
      </c>
      <c r="O600" s="558">
        <f>IF(L600&gt;0,N600*100/L600,0)</f>
        <v>0</v>
      </c>
      <c r="P600" s="558">
        <f>IF(M600&gt;0,N600*100/M600,0)</f>
        <v>0</v>
      </c>
      <c r="Q600" s="558">
        <f>Q603+Q606</f>
        <v>0</v>
      </c>
      <c r="R600" s="558">
        <f>R603+R606</f>
        <v>0</v>
      </c>
      <c r="S600" s="558">
        <f>S603+S606</f>
        <v>0</v>
      </c>
      <c r="T600" s="558">
        <f>IF(Q600&gt;0,S600*100/Q600,0)</f>
        <v>0</v>
      </c>
      <c r="U600" s="558">
        <f>IF(R600&gt;0,S600*100/R600,0)</f>
        <v>0</v>
      </c>
    </row>
    <row r="601" spans="1:21" ht="18.75" hidden="1" x14ac:dyDescent="0.25">
      <c r="A601" s="401"/>
      <c r="B601" s="402"/>
      <c r="C601" s="402"/>
      <c r="D601" s="409"/>
      <c r="E601" s="410" t="s">
        <v>163</v>
      </c>
      <c r="F601" s="411"/>
      <c r="G601" s="412"/>
      <c r="H601" s="413" t="s">
        <v>14</v>
      </c>
      <c r="I601" s="406"/>
      <c r="J601" s="406"/>
      <c r="K601" s="407"/>
      <c r="L601" s="706">
        <f ca="1">L604+L607</f>
        <v>10566</v>
      </c>
      <c r="M601" s="558">
        <f ca="1">M604+M607</f>
        <v>10566</v>
      </c>
      <c r="N601" s="558">
        <f ca="1">N604+N607</f>
        <v>1480</v>
      </c>
      <c r="O601" s="558">
        <f ca="1">IF(L601&gt;0,N601*100/L601,0)</f>
        <v>14.007192882831724</v>
      </c>
      <c r="P601" s="558">
        <f ca="1">IF(M601&gt;0,N601*100/M601,0)</f>
        <v>14.007192882831724</v>
      </c>
      <c r="Q601" s="558">
        <f ca="1">Q604+Q607</f>
        <v>0</v>
      </c>
      <c r="R601" s="558">
        <f ca="1">R604+R607</f>
        <v>0</v>
      </c>
      <c r="S601" s="558">
        <f ca="1">S604+S607</f>
        <v>0</v>
      </c>
      <c r="T601" s="558">
        <f ca="1">IF(Q601&gt;0,S601*100/Q601,0)</f>
        <v>0</v>
      </c>
      <c r="U601" s="558">
        <f ca="1">IF(R601&gt;0,S601*100/R601,0)</f>
        <v>0</v>
      </c>
    </row>
    <row r="602" spans="1:21" ht="18.75" x14ac:dyDescent="0.25">
      <c r="A602" s="401"/>
      <c r="B602" s="402"/>
      <c r="C602" s="402"/>
      <c r="D602" s="712" t="s">
        <v>22</v>
      </c>
      <c r="E602" s="411"/>
      <c r="F602" s="411"/>
      <c r="G602" s="412"/>
      <c r="H602" s="413" t="s">
        <v>14</v>
      </c>
      <c r="I602" s="416"/>
      <c r="J602" s="416"/>
      <c r="K602" s="417"/>
      <c r="L602" s="706">
        <f ca="1">L603+L604</f>
        <v>10566</v>
      </c>
      <c r="M602" s="558">
        <f ca="1">M603+M604</f>
        <v>10566</v>
      </c>
      <c r="N602" s="558">
        <f ca="1">N603+N604</f>
        <v>1480</v>
      </c>
      <c r="O602" s="558">
        <f ca="1">IF(L602&gt;0,N602*100/L602,0)</f>
        <v>14.007192882831724</v>
      </c>
      <c r="P602" s="558">
        <f ca="1">IF(M602&gt;0,N602*100/M602,0)</f>
        <v>14.007192882831724</v>
      </c>
      <c r="Q602" s="558">
        <f ca="1">Q603+Q604</f>
        <v>0</v>
      </c>
      <c r="R602" s="558">
        <f ca="1">R603+R604</f>
        <v>0</v>
      </c>
      <c r="S602" s="558">
        <f ca="1">S603+S604</f>
        <v>0</v>
      </c>
      <c r="T602" s="558">
        <f ca="1">IF(Q602&gt;0,S602*100/Q602,0)</f>
        <v>0</v>
      </c>
      <c r="U602" s="558">
        <f ca="1">IF(R602&gt;0,S602*100/R602,0)</f>
        <v>0</v>
      </c>
    </row>
    <row r="603" spans="1:21" ht="18.75" hidden="1" x14ac:dyDescent="0.25">
      <c r="A603" s="401"/>
      <c r="B603" s="402"/>
      <c r="C603" s="402"/>
      <c r="D603" s="409"/>
      <c r="E603" s="410" t="s">
        <v>162</v>
      </c>
      <c r="F603" s="411"/>
      <c r="G603" s="412"/>
      <c r="H603" s="413" t="s">
        <v>14</v>
      </c>
      <c r="I603" s="406"/>
      <c r="J603" s="406"/>
      <c r="K603" s="407"/>
      <c r="L603" s="706">
        <v>0</v>
      </c>
      <c r="M603" s="558">
        <v>0</v>
      </c>
      <c r="N603" s="558">
        <v>0</v>
      </c>
      <c r="O603" s="558">
        <f>IF(L603&gt;0,N603*100/L603,0)</f>
        <v>0</v>
      </c>
      <c r="P603" s="558">
        <f>IF(M603&gt;0,N603*100/M603,0)</f>
        <v>0</v>
      </c>
      <c r="Q603" s="558">
        <v>0</v>
      </c>
      <c r="R603" s="558">
        <v>0</v>
      </c>
      <c r="S603" s="558">
        <v>0</v>
      </c>
      <c r="T603" s="558">
        <f>IF(Q603&gt;0,S603*100/Q603,0)</f>
        <v>0</v>
      </c>
      <c r="U603" s="558">
        <f>IF(R603&gt;0,S603*100/R603,0)</f>
        <v>0</v>
      </c>
    </row>
    <row r="604" spans="1:21" ht="18.75" hidden="1" x14ac:dyDescent="0.25">
      <c r="A604" s="401"/>
      <c r="B604" s="402"/>
      <c r="C604" s="402"/>
      <c r="D604" s="409"/>
      <c r="E604" s="410" t="s">
        <v>163</v>
      </c>
      <c r="F604" s="411"/>
      <c r="G604" s="412"/>
      <c r="H604" s="413" t="s">
        <v>14</v>
      </c>
      <c r="I604" s="406"/>
      <c r="J604" s="406"/>
      <c r="K604" s="407"/>
      <c r="L604" s="706">
        <f ca="1">IFERROR(__xludf.DUMMYFUNCTION("IMPORTRANGE(""https://docs.google.com/spreadsheets/d/1-uDff_7J0KD5mKrp0Vvzr7lt3OU09vwQwhkpOPPYv2Y/edit?usp=sharing"",""งบพรบ!HK19"")"),10566)</f>
        <v>10566</v>
      </c>
      <c r="M604" s="558">
        <f ca="1">IFERROR(__xludf.DUMMYFUNCTION("IMPORTRANGE(""https://docs.google.com/spreadsheets/d/1-uDff_7J0KD5mKrp0Vvzr7lt3OU09vwQwhkpOPPYv2Y/edit?usp=sharing"",""งบพรบ!HP19"")"),10566)</f>
        <v>10566</v>
      </c>
      <c r="N604" s="558">
        <f ca="1">IFERROR(__xludf.DUMMYFUNCTION("IMPORTRANGE(""https://docs.google.com/spreadsheets/d/1-uDff_7J0KD5mKrp0Vvzr7lt3OU09vwQwhkpOPPYv2Y/edit?usp=sharing"",""งบพรบ!HR19"")"),1480)</f>
        <v>1480</v>
      </c>
      <c r="O604" s="558">
        <f ca="1">IF(L604&gt;0,N604*100/L604,0)</f>
        <v>14.007192882831724</v>
      </c>
      <c r="P604" s="558">
        <f ca="1">IF(M604&gt;0,N604*100/M604,0)</f>
        <v>14.007192882831724</v>
      </c>
      <c r="Q604" s="558">
        <f ca="1">IFERROR(__xludf.DUMMYFUNCTION("IMPORTRANGE(""https://docs.google.com/spreadsheets/d/1ItG2mGa2ceCfYo0BwxsXqNm01IGEUdYcSSLTEv9YCik/edit?usp=sharing"",""เบิกจ่ายกองทุน!AV19"")"),0)</f>
        <v>0</v>
      </c>
      <c r="R604" s="558">
        <f ca="1">IFERROR(__xludf.DUMMYFUNCTION("IMPORTRANGE(""https://docs.google.com/spreadsheets/d/1ItG2mGa2ceCfYo0BwxsXqNm01IGEUdYcSSLTEv9YCik/edit?usp=sharing"",""เบิกจ่ายกองทุน!AW19"")"),0)</f>
        <v>0</v>
      </c>
      <c r="S604" s="558">
        <f ca="1">IFERROR(__xludf.DUMMYFUNCTION("IMPORTRANGE(""https://docs.google.com/spreadsheets/d/1ItG2mGa2ceCfYo0BwxsXqNm01IGEUdYcSSLTEv9YCik/edit?usp=sharing"",""เบิกจ่ายกองทุน!AX19"")"),0)</f>
        <v>0</v>
      </c>
      <c r="T604" s="558">
        <f ca="1">IF(Q604&gt;0,S604*100/Q604,0)</f>
        <v>0</v>
      </c>
      <c r="U604" s="558">
        <f ca="1">IF(R604&gt;0,S604*100/R604,0)</f>
        <v>0</v>
      </c>
    </row>
    <row r="605" spans="1:21" ht="18.75" x14ac:dyDescent="0.25">
      <c r="A605" s="401"/>
      <c r="B605" s="402"/>
      <c r="C605" s="402"/>
      <c r="D605" s="712" t="s">
        <v>23</v>
      </c>
      <c r="E605" s="402"/>
      <c r="F605" s="411"/>
      <c r="G605" s="412"/>
      <c r="H605" s="420" t="s">
        <v>14</v>
      </c>
      <c r="I605" s="416"/>
      <c r="J605" s="416"/>
      <c r="K605" s="417"/>
      <c r="L605" s="706">
        <f ca="1">L606+L607</f>
        <v>0</v>
      </c>
      <c r="M605" s="558">
        <f ca="1">M606+M607</f>
        <v>0</v>
      </c>
      <c r="N605" s="558">
        <f ca="1">N606+N607</f>
        <v>0</v>
      </c>
      <c r="O605" s="558">
        <f ca="1">IF(L605&gt;0,N605*100/L605,0)</f>
        <v>0</v>
      </c>
      <c r="P605" s="558">
        <f ca="1">IF(M605&gt;0,N605*100/M605,0)</f>
        <v>0</v>
      </c>
      <c r="Q605" s="558">
        <f ca="1">Q606+Q607</f>
        <v>0</v>
      </c>
      <c r="R605" s="558">
        <f ca="1">R606+R607</f>
        <v>0</v>
      </c>
      <c r="S605" s="558">
        <f ca="1">S606+S607</f>
        <v>0</v>
      </c>
      <c r="T605" s="558">
        <f ca="1">IF(Q605&gt;0,S605*100/Q605,0)</f>
        <v>0</v>
      </c>
      <c r="U605" s="558">
        <f ca="1">IF(R605&gt;0,S605*100/R605,0)</f>
        <v>0</v>
      </c>
    </row>
    <row r="606" spans="1:21" ht="18.75" hidden="1" x14ac:dyDescent="0.25">
      <c r="A606" s="401"/>
      <c r="B606" s="402"/>
      <c r="C606" s="402"/>
      <c r="D606" s="402"/>
      <c r="E606" s="419" t="s">
        <v>20</v>
      </c>
      <c r="F606" s="411"/>
      <c r="G606" s="412"/>
      <c r="H606" s="413" t="s">
        <v>14</v>
      </c>
      <c r="I606" s="416"/>
      <c r="J606" s="416"/>
      <c r="K606" s="417"/>
      <c r="L606" s="706">
        <v>0</v>
      </c>
      <c r="M606" s="558">
        <v>0</v>
      </c>
      <c r="N606" s="558">
        <v>0</v>
      </c>
      <c r="O606" s="558">
        <f>IF(L606&gt;0,N606*100/L606,0)</f>
        <v>0</v>
      </c>
      <c r="P606" s="558">
        <f>IF(M606&gt;0,N606*100/M606,0)</f>
        <v>0</v>
      </c>
      <c r="Q606" s="558">
        <v>0</v>
      </c>
      <c r="R606" s="558">
        <v>0</v>
      </c>
      <c r="S606" s="558">
        <v>0</v>
      </c>
      <c r="T606" s="558">
        <f>IF(Q606&gt;0,S606*100/Q606,0)</f>
        <v>0</v>
      </c>
      <c r="U606" s="558">
        <f>IF(R606&gt;0,S606*100/R606,0)</f>
        <v>0</v>
      </c>
    </row>
    <row r="607" spans="1:21" ht="18.75" hidden="1" x14ac:dyDescent="0.25">
      <c r="A607" s="401"/>
      <c r="B607" s="402"/>
      <c r="C607" s="402"/>
      <c r="D607" s="411"/>
      <c r="E607" s="419" t="s">
        <v>21</v>
      </c>
      <c r="F607" s="411"/>
      <c r="G607" s="412"/>
      <c r="H607" s="420" t="s">
        <v>14</v>
      </c>
      <c r="I607" s="416"/>
      <c r="J607" s="416"/>
      <c r="K607" s="417"/>
      <c r="L607" s="706">
        <f ca="1">IFERROR(__xludf.DUMMYFUNCTION("IMPORTRANGE(""https://docs.google.com/spreadsheets/d/1-uDff_7J0KD5mKrp0Vvzr7lt3OU09vwQwhkpOPPYv2Y/edit?usp=sharing"",""งบพรบ!HN19"")"),0)</f>
        <v>0</v>
      </c>
      <c r="M607" s="558">
        <f ca="1">IFERROR(__xludf.DUMMYFUNCTION("IMPORTRANGE(""https://docs.google.com/spreadsheets/d/1-uDff_7J0KD5mKrp0Vvzr7lt3OU09vwQwhkpOPPYv2Y/edit?usp=sharing"",""งบพรบ!HQ19"")"),0)</f>
        <v>0</v>
      </c>
      <c r="N607" s="558">
        <f ca="1">IFERROR(__xludf.DUMMYFUNCTION("IMPORTRANGE(""https://docs.google.com/spreadsheets/d/1-uDff_7J0KD5mKrp0Vvzr7lt3OU09vwQwhkpOPPYv2Y/edit?usp=sharing"",""งบพรบ!HS19"")"),0)</f>
        <v>0</v>
      </c>
      <c r="O607" s="558">
        <f ca="1">IF(L607&gt;0,N607*100/L607,0)</f>
        <v>0</v>
      </c>
      <c r="P607" s="558">
        <f ca="1">IF(M607&gt;0,N607*100/M607,0)</f>
        <v>0</v>
      </c>
      <c r="Q607" s="558">
        <f ca="1">IFERROR(__xludf.DUMMYFUNCTION("IMPORTRANGE(""https://docs.google.com/spreadsheets/d/1ItG2mGa2ceCfYo0BwxsXqNm01IGEUdYcSSLTEv9YCik/edit?usp=sharing"",""เบิกจ่ายกองทุน!AY19"")"),0)</f>
        <v>0</v>
      </c>
      <c r="R607" s="558">
        <f ca="1">IFERROR(__xludf.DUMMYFUNCTION("IMPORTRANGE(""https://docs.google.com/spreadsheets/d/1ItG2mGa2ceCfYo0BwxsXqNm01IGEUdYcSSLTEv9YCik/edit?usp=sharing"",""เบิกจ่ายกองทุน!AZ19"")"),0)</f>
        <v>0</v>
      </c>
      <c r="S607" s="558">
        <f ca="1">IFERROR(__xludf.DUMMYFUNCTION("IMPORTRANGE(""https://docs.google.com/spreadsheets/d/1ItG2mGa2ceCfYo0BwxsXqNm01IGEUdYcSSLTEv9YCik/edit?usp=sharing"",""เบิกจ่ายกองทุน!BA19"")"),0)</f>
        <v>0</v>
      </c>
      <c r="T607" s="558">
        <f ca="1">IF(Q607&gt;0,S607*100/Q607,0)</f>
        <v>0</v>
      </c>
      <c r="U607" s="558">
        <f ca="1">IF(R607&gt;0,S607*100/R607,0)</f>
        <v>0</v>
      </c>
    </row>
    <row r="608" spans="1:21" ht="19.5" hidden="1" x14ac:dyDescent="0.3">
      <c r="A608" s="421"/>
      <c r="B608" s="422"/>
      <c r="C608" s="403" t="s">
        <v>18</v>
      </c>
      <c r="D608" s="705" t="s">
        <v>38</v>
      </c>
      <c r="E608" s="424"/>
      <c r="F608" s="424"/>
      <c r="G608" s="425"/>
      <c r="H608" s="426"/>
      <c r="I608" s="416"/>
      <c r="J608" s="416"/>
      <c r="K608" s="417"/>
      <c r="L608" s="554"/>
      <c r="M608" s="407"/>
      <c r="N608" s="407"/>
      <c r="O608" s="407"/>
      <c r="P608" s="407"/>
      <c r="Q608" s="407"/>
      <c r="R608" s="407"/>
      <c r="S608" s="407"/>
      <c r="T608" s="407"/>
      <c r="U608" s="407"/>
    </row>
    <row r="609" spans="1:21" ht="18.75" hidden="1" x14ac:dyDescent="0.25">
      <c r="A609" s="421"/>
      <c r="B609" s="422"/>
      <c r="C609" s="422"/>
      <c r="D609" s="427" t="s">
        <v>223</v>
      </c>
      <c r="E609" s="409"/>
      <c r="F609" s="409"/>
      <c r="G609" s="428"/>
      <c r="H609" s="413" t="s">
        <v>99</v>
      </c>
      <c r="I609" s="406"/>
      <c r="J609" s="406"/>
      <c r="K609" s="417"/>
      <c r="L609" s="554"/>
      <c r="M609" s="407"/>
      <c r="N609" s="407"/>
      <c r="O609" s="407"/>
      <c r="P609" s="407"/>
      <c r="Q609" s="407"/>
      <c r="R609" s="407"/>
      <c r="S609" s="407"/>
      <c r="T609" s="407"/>
      <c r="U609" s="407"/>
    </row>
    <row r="610" spans="1:21" ht="19.5" hidden="1" x14ac:dyDescent="0.3">
      <c r="A610" s="421"/>
      <c r="B610" s="422"/>
      <c r="C610" s="422"/>
      <c r="D610" s="427" t="s">
        <v>224</v>
      </c>
      <c r="E610" s="409"/>
      <c r="F610" s="409"/>
      <c r="G610" s="428"/>
      <c r="H610" s="405" t="s">
        <v>35</v>
      </c>
      <c r="I610" s="406"/>
      <c r="J610" s="406"/>
      <c r="K610" s="417"/>
      <c r="L610" s="554"/>
      <c r="M610" s="407"/>
      <c r="N610" s="407"/>
      <c r="O610" s="407"/>
      <c r="P610" s="407"/>
      <c r="Q610" s="407"/>
      <c r="R610" s="407"/>
      <c r="S610" s="407"/>
      <c r="T610" s="407"/>
      <c r="U610" s="407"/>
    </row>
    <row r="611" spans="1:21" ht="18.75" hidden="1" x14ac:dyDescent="0.25">
      <c r="A611" s="421"/>
      <c r="B611" s="422"/>
      <c r="C611" s="422"/>
      <c r="D611" s="422"/>
      <c r="E611" s="427" t="s">
        <v>225</v>
      </c>
      <c r="F611" s="409"/>
      <c r="G611" s="428"/>
      <c r="H611" s="420" t="s">
        <v>35</v>
      </c>
      <c r="I611" s="406"/>
      <c r="J611" s="406"/>
      <c r="K611" s="417"/>
      <c r="L611" s="554"/>
      <c r="M611" s="407"/>
      <c r="N611" s="407"/>
      <c r="O611" s="407"/>
      <c r="P611" s="407"/>
      <c r="Q611" s="407"/>
      <c r="R611" s="407"/>
      <c r="S611" s="407"/>
      <c r="T611" s="407"/>
      <c r="U611" s="407"/>
    </row>
    <row r="612" spans="1:21" ht="19.5" hidden="1" thickBot="1" x14ac:dyDescent="0.3">
      <c r="A612" s="429"/>
      <c r="B612" s="430"/>
      <c r="C612" s="430"/>
      <c r="D612" s="430"/>
      <c r="E612" s="431" t="s">
        <v>226</v>
      </c>
      <c r="F612" s="432"/>
      <c r="G612" s="433"/>
      <c r="H612" s="434" t="s">
        <v>35</v>
      </c>
      <c r="I612" s="435"/>
      <c r="J612" s="435"/>
      <c r="K612" s="436"/>
      <c r="L612" s="82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1975</v>
      </c>
      <c r="R616" s="547">
        <f ca="1">R617+R618</f>
        <v>1975</v>
      </c>
      <c r="S616" s="547">
        <f ca="1">S617+S618</f>
        <v>600</v>
      </c>
      <c r="T616" s="547">
        <f ca="1">IF(Q616&gt;0,S616*100/Q616,0)</f>
        <v>30.379746835443036</v>
      </c>
      <c r="U616" s="547">
        <f ca="1">IF(R616&gt;0,S616*100/R616,0)</f>
        <v>30.379746835443036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1975</v>
      </c>
      <c r="R618" s="224">
        <f ca="1">R621+R624</f>
        <v>1975</v>
      </c>
      <c r="S618" s="224">
        <f ca="1">S621+S624</f>
        <v>600</v>
      </c>
      <c r="T618" s="224">
        <f ca="1">IF(Q618&gt;0,S618*100/Q618,0)</f>
        <v>30.379746835443036</v>
      </c>
      <c r="U618" s="224">
        <f ca="1">IF(R618&gt;0,S618*100/R618,0)</f>
        <v>30.379746835443036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1975</v>
      </c>
      <c r="R619" s="224">
        <f ca="1">R620+R621</f>
        <v>1975</v>
      </c>
      <c r="S619" s="224">
        <f ca="1">S620+S621</f>
        <v>600</v>
      </c>
      <c r="T619" s="224">
        <f ca="1">IF(Q619&gt;0,S619*100/Q619,0)</f>
        <v>30.379746835443036</v>
      </c>
      <c r="U619" s="224">
        <f ca="1">IF(R619&gt;0,S619*100/R619,0)</f>
        <v>30.379746835443036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IFERROR(__xludf.DUMMYFUNCTION("IMPORTRANGE(""https://docs.google.com/spreadsheets/d/1ItG2mGa2ceCfYo0BwxsXqNm01IGEUdYcSSLTEv9YCik/edit?usp=sharing"",""เบิกจ่ายกองทุน!F19"")"),1975)</f>
        <v>1975</v>
      </c>
      <c r="R621" s="224">
        <f ca="1">IFERROR(__xludf.DUMMYFUNCTION("IMPORTRANGE(""https://docs.google.com/spreadsheets/d/1ItG2mGa2ceCfYo0BwxsXqNm01IGEUdYcSSLTEv9YCik/edit?usp=sharing"",""เบิกจ่ายกองทุน!G19"")"),1975)</f>
        <v>1975</v>
      </c>
      <c r="S621" s="224">
        <f ca="1">IFERROR(__xludf.DUMMYFUNCTION("IMPORTRANGE(""https://docs.google.com/spreadsheets/d/1ItG2mGa2ceCfYo0BwxsXqNm01IGEUdYcSSLTEv9YCik/edit?usp=sharing"",""เบิกจ่ายกองทุน!H19"")"),600)</f>
        <v>600</v>
      </c>
      <c r="T621" s="224">
        <f ca="1">IF(Q621&gt;0,S621*100/Q621,0)</f>
        <v>30.379746835443036</v>
      </c>
      <c r="U621" s="224">
        <f ca="1">IF(R621&gt;0,S621*100/R621,0)</f>
        <v>30.379746835443036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IFERROR(__xludf.DUMMYFUNCTION("IMPORTRANGE(""https://docs.google.com/spreadsheets/d/1eHaY18a8A9IcSdp1K8H6x8fbOy06t2VsZHhMHf-1x7Y/edit?usp=sharing"",""แผน!ID19"")"),0)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IFERROR(__xludf.DUMMYFUNCTION("IMPORTRANGE(""https://docs.google.com/spreadsheets/d/1eHaY18a8A9IcSdp1K8H6x8fbOy06t2VsZHhMHf-1x7Y/edit?usp=sharing"",""แผน!IC19"")"),1)</f>
        <v>1</v>
      </c>
      <c r="J627" s="380">
        <v>1</v>
      </c>
      <c r="K627" s="224">
        <f ca="1">IF(I627&gt;0,(J627*100)/I627,0)</f>
        <v>100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IFERROR(__xludf.DUMMYFUNCTION("IMPORTRANGE(""https://docs.google.com/spreadsheets/d/1eHaY18a8A9IcSdp1K8H6x8fbOy06t2VsZHhMHf-1x7Y/edit?usp=sharing"",""แผน!IC19"")"),1)</f>
        <v>1</v>
      </c>
      <c r="J628" s="380">
        <v>1</v>
      </c>
      <c r="K628" s="224">
        <f ca="1">IF(I628&gt;0,(J628*100)/I628,0)</f>
        <v>100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IFERROR(__xludf.DUMMYFUNCTION("IMPORTRANGE(""https://docs.google.com/spreadsheets/d/1eHaY18a8A9IcSdp1K8H6x8fbOy06t2VsZHhMHf-1x7Y/edit?usp=sharing"",""แผน!IE19"")"),0)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hidden="1" x14ac:dyDescent="0.3">
      <c r="A642" s="128"/>
      <c r="B642" s="158"/>
      <c r="C642" s="209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0</v>
      </c>
      <c r="R642" s="547">
        <f ca="1">R643+R644</f>
        <v>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hidden="1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IFERROR(__xludf.DUMMYFUNCTION("IMPORTRANGE(""https://docs.google.com/spreadsheets/d/1ItG2mGa2ceCfYo0BwxsXqNm01IGEUdYcSSLTEv9YCik/edit?usp=sharing"",""เบิกจ่ายกองทุน!I19"")"),0)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IFERROR(__xludf.DUMMYFUNCTION("IMPORTRANGE(""https://docs.google.com/spreadsheets/d/1ItG2mGa2ceCfYo0BwxsXqNm01IGEUdYcSSLTEv9YCik/edit?usp=sharing"",""เบิกจ่ายกองทุน!J19"")"),0)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IFERROR(__xludf.DUMMYFUNCTION("IMPORTRANGE(""https://docs.google.com/spreadsheets/d/1ItG2mGa2ceCfYo0BwxsXqNm01IGEUdYcSSLTEv9YCik/edit?usp=sharing"",""เบิกจ่ายกองทุน!K19"")"),0)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hidden="1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hidden="1" x14ac:dyDescent="0.3">
      <c r="A651" s="138"/>
      <c r="B651" s="139"/>
      <c r="C651" s="209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IFERROR(__xludf.DUMMYFUNCTION("IMPORTRANGE(""https://docs.google.com/spreadsheets/d/1eHaY18a8A9IcSdp1K8H6x8fbOy06t2VsZHhMHf-1x7Y/edit?usp=sharing"",""แผน!IF19"")"),0)</f>
        <v>0</v>
      </c>
      <c r="J652" s="184">
        <f ca="1">IFERROR(__xludf.DUMMYFUNCTION("IMPORTRANGE(""https://docs.google.com/spreadsheets/d/1tdoBKaGub7dwA3U6UFTqxio9LNnvDCQjHKmttSEBsFQ/edit?usp=sharing"",""จัดที่ดิน!AU19"")"),0)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IFERROR(__xludf.DUMMYFUNCTION("IMPORTRANGE(""https://docs.google.com/spreadsheets/d/1eHaY18a8A9IcSdp1K8H6x8fbOy06t2VsZHhMHf-1x7Y/edit?usp=sharing"",""แผน!IG19"")"),0)</f>
        <v>0</v>
      </c>
      <c r="J653" s="184">
        <f ca="1">IFERROR(__xludf.DUMMYFUNCTION("IMPORTRANGE(""https://docs.google.com/spreadsheets/d/1tdoBKaGub7dwA3U6UFTqxio9LNnvDCQjHKmttSEBsFQ/edit?usp=sharing"",""จัดที่ดิน!AW19"")"),0)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hidden="1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IFERROR(__xludf.DUMMYFUNCTION("IMPORTRANGE(""https://docs.google.com/spreadsheets/d/1eHaY18a8A9IcSdp1K8H6x8fbOy06t2VsZHhMHf-1x7Y/edit?usp=sharing"",""แผน!IH19"")"),0)</f>
        <v>0</v>
      </c>
      <c r="J654" s="338">
        <f>J657+J660</f>
        <v>0</v>
      </c>
      <c r="K654" s="547">
        <f ca="1">IF(I654&gt;0,J654*100/I654,0)</f>
        <v>0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hidden="1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0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hidden="1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0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hidden="1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IFERROR(__xludf.DUMMYFUNCTION("IMPORTRANGE(""https://docs.google.com/spreadsheets/d/1eHaY18a8A9IcSdp1K8H6x8fbOy06t2VsZHhMHf-1x7Y/edit?usp=sharing"",""แผน!II19"")"),0)</f>
        <v>0</v>
      </c>
      <c r="J657" s="380">
        <v>0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hidden="1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hidden="1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hidden="1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IFERROR(__xludf.DUMMYFUNCTION("IMPORTRANGE(""https://docs.google.com/spreadsheets/d/1eHaY18a8A9IcSdp1K8H6x8fbOy06t2VsZHhMHf-1x7Y/edit?usp=sharing"",""แผน!IJ19"")"),0)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IFERROR(__xludf.DUMMYFUNCTION("IMPORTRANGE(""https://docs.google.com/spreadsheets/d/1eHaY18a8A9IcSdp1K8H6x8fbOy06t2VsZHhMHf-1x7Y/edit?usp=sharing"",""แผน!IK19"")"),0)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IFERROR(__xludf.DUMMYFUNCTION("IMPORTRANGE(""https://docs.google.com/spreadsheets/d/1tdoBKaGub7dwA3U6UFTqxio9LNnvDCQjHKmttSEBsFQ/edit?usp=sharing"",""จัดที่ดิน!AY19"")"),0)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IFERROR(__xludf.DUMMYFUNCTION("IMPORTRANGE(""https://docs.google.com/spreadsheets/d/1tdoBKaGub7dwA3U6UFTqxio9LNnvDCQjHKmttSEBsFQ/edit?usp=sharing"",""จัดที่ดิน!AZ19"")"),0)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IFERROR(__xludf.DUMMYFUNCTION("IMPORTRANGE(""https://docs.google.com/spreadsheets/d/1eHaY18a8A9IcSdp1K8H6x8fbOy06t2VsZHhMHf-1x7Y/edit?usp=sharing"",""แผน!IL19"")"),0)</f>
        <v>0</v>
      </c>
      <c r="J673" s="184">
        <f ca="1">IFERROR(__xludf.DUMMYFUNCTION("IMPORTRANGE(""https://docs.google.com/spreadsheets/d/1tdoBKaGub7dwA3U6UFTqxio9LNnvDCQjHKmttSEBsFQ/edit?usp=sharing"",""จัดที่ดิน!BA19"")"),0)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IFERROR(__xludf.DUMMYFUNCTION("IMPORTRANGE(""https://docs.google.com/spreadsheets/d/1eHaY18a8A9IcSdp1K8H6x8fbOy06t2VsZHhMHf-1x7Y/edit?usp=sharing"",""แผน!IM19"")"),0)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IFERROR(__xludf.DUMMYFUNCTION("IMPORTRANGE(""https://docs.google.com/spreadsheets/d/1eHaY18a8A9IcSdp1K8H6x8fbOy06t2VsZHhMHf-1x7Y/edit?usp=sharing"",""แผน!IN19"")"),0)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IFERROR(__xludf.DUMMYFUNCTION("IMPORTRANGE(""https://docs.google.com/spreadsheets/d/1eHaY18a8A9IcSdp1K8H6x8fbOy06t2VsZHhMHf-1x7Y/edit?usp=sharing"",""แผน!IO19"")"),0)</f>
        <v>0</v>
      </c>
      <c r="J676" s="184">
        <f ca="1">IFERROR(__xludf.DUMMYFUNCTION("IMPORTRANGE(""https://docs.google.com/spreadsheets/d/1tdoBKaGub7dwA3U6UFTqxio9LNnvDCQjHKmttSEBsFQ/edit?usp=sharing"",""จัดที่ดิน!BF19"")"),0)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IFERROR(__xludf.DUMMYFUNCTION("IMPORTRANGE(""https://docs.google.com/spreadsheets/d/1tdoBKaGub7dwA3U6UFTqxio9LNnvDCQjHKmttSEBsFQ/edit?usp=sharing"",""จัดที่ดิน!BG19"")"),0)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IFERROR(__xludf.DUMMYFUNCTION("IMPORTRANGE(""https://docs.google.com/spreadsheets/d/1eHaY18a8A9IcSdp1K8H6x8fbOy06t2VsZHhMHf-1x7Y/edit?usp=sharing"",""แผน!IP19"")"),0)</f>
        <v>0</v>
      </c>
      <c r="J678" s="184">
        <f ca="1">IFERROR(__xludf.DUMMYFUNCTION("IMPORTRANGE(""https://docs.google.com/spreadsheets/d/1tdoBKaGub7dwA3U6UFTqxio9LNnvDCQjHKmttSEBsFQ/edit?usp=sharing"",""จัดที่ดิน!BH19"")"),0)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IFERROR(__xludf.DUMMYFUNCTION("IMPORTRANGE(""https://docs.google.com/spreadsheets/d/1eHaY18a8A9IcSdp1K8H6x8fbOy06t2VsZHhMHf-1x7Y/edit?usp=sharing"",""แผน!IQ19"")"),0)</f>
        <v>0</v>
      </c>
      <c r="J679" s="184">
        <f ca="1">IFERROR(__xludf.DUMMYFUNCTION("IMPORTRANGE(""https://docs.google.com/spreadsheets/d/1tdoBKaGub7dwA3U6UFTqxio9LNnvDCQjHKmttSEBsFQ/edit?usp=sharing"",""จัดที่ดิน!BK19"")"),0)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IFERROR(__xludf.DUMMYFUNCTION("IMPORTRANGE(""https://docs.google.com/spreadsheets/d/1tdoBKaGub7dwA3U6UFTqxio9LNnvDCQjHKmttSEBsFQ/edit?usp=sharing"",""จัดที่ดิน!BL19"")"),0)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IFERROR(__xludf.DUMMYFUNCTION("IMPORTRANGE(""https://docs.google.com/spreadsheets/d/1eHaY18a8A9IcSdp1K8H6x8fbOy06t2VsZHhMHf-1x7Y/edit?usp=sharing"",""แผน!IR19"")"),0)</f>
        <v>0</v>
      </c>
      <c r="J681" s="184">
        <f ca="1">IFERROR(__xludf.DUMMYFUNCTION("IMPORTRANGE(""https://docs.google.com/spreadsheets/d/1tdoBKaGub7dwA3U6UFTqxio9LNnvDCQjHKmttSEBsFQ/edit?usp=sharing"",""จัดที่ดิน!BM19"")"),0)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IFERROR(__xludf.DUMMYFUNCTION("IMPORTRANGE(""https://docs.google.com/spreadsheets/d/1eHaY18a8A9IcSdp1K8H6x8fbOy06t2VsZHhMHf-1x7Y/edit?usp=sharing"",""แผน!IS19"")"),0)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872" t="s">
        <v>35</v>
      </c>
      <c r="I689" s="871">
        <f ca="1">I707</f>
        <v>70</v>
      </c>
      <c r="J689" s="871">
        <f ca="1">J707</f>
        <v>110</v>
      </c>
      <c r="K689" s="551">
        <f ca="1">IF(I689&gt;0,J689*100/I689,0)</f>
        <v>157.14285714285714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205820</v>
      </c>
      <c r="R690" s="547">
        <f ca="1">R691+R692</f>
        <v>205820</v>
      </c>
      <c r="S690" s="547">
        <f ca="1">S691+S692</f>
        <v>153522</v>
      </c>
      <c r="T690" s="547">
        <f ca="1">IF(Q690&gt;0,S690*100/Q690,0)</f>
        <v>74.59041881255466</v>
      </c>
      <c r="U690" s="547">
        <f ca="1">IF(R690&gt;0,S690*100/R690,0)</f>
        <v>74.59041881255466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205820</v>
      </c>
      <c r="R692" s="224">
        <f ca="1">R695+R698</f>
        <v>205820</v>
      </c>
      <c r="S692" s="224">
        <f ca="1">S695+S698</f>
        <v>153522</v>
      </c>
      <c r="T692" s="224">
        <f ca="1">IF(Q692&gt;0,S692*100/Q692,0)</f>
        <v>74.59041881255466</v>
      </c>
      <c r="U692" s="224">
        <f ca="1">IF(R692&gt;0,S692*100/R692,0)</f>
        <v>74.59041881255466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205820</v>
      </c>
      <c r="R693" s="224">
        <f ca="1">R694+R695</f>
        <v>205820</v>
      </c>
      <c r="S693" s="224">
        <f ca="1">S694+S695</f>
        <v>153522</v>
      </c>
      <c r="T693" s="224">
        <f ca="1">IF(Q693&gt;0,S693*100/Q693,0)</f>
        <v>74.59041881255466</v>
      </c>
      <c r="U693" s="224">
        <f ca="1">IF(R693&gt;0,S693*100/R693,0)</f>
        <v>74.59041881255466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5" s="224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5" s="224">
        <f ca="1">IFERROR(__xludf.DUMMYFUNCTION("IMPORTRANGE(""https://docs.google.com/spreadsheets/d/1ItG2mGa2ceCfYo0BwxsXqNm01IGEUdYcSSLTEv9YCik/edit?usp=sharing"",""เบิกจ่ายกองทุน!N19"")"),153522)</f>
        <v>153522</v>
      </c>
      <c r="T695" s="224">
        <f ca="1">IF(Q695&gt;0,S695*100/Q695,0)</f>
        <v>74.59041881255466</v>
      </c>
      <c r="U695" s="224">
        <f ca="1">IF(R695&gt;0,S695*100/R695,0)</f>
        <v>74.59041881255466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IFERROR(__xludf.DUMMYFUNCTION("IMPORTRANGE(""https://docs.google.com/spreadsheets/d/1eHaY18a8A9IcSdp1K8H6x8fbOy06t2VsZHhMHf-1x7Y/edit?usp=sharing"",""แผน!LC19"")"),1)</f>
        <v>1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74</v>
      </c>
      <c r="J701" s="338">
        <f ca="1">J703+J705</f>
        <v>116</v>
      </c>
      <c r="K701" s="547">
        <f ca="1">IF(I701&gt;0,J701*100/I701,0)</f>
        <v>156.75675675675674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55.94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IFERROR(__xludf.DUMMYFUNCTION("IMPORTRANGE(""https://docs.google.com/spreadsheets/d/1eHaY18a8A9IcSdp1K8H6x8fbOy06t2VsZHhMHf-1x7Y/edit?usp=sharing"",""แผน!LJ19"")"),70)</f>
        <v>70</v>
      </c>
      <c r="J703" s="184">
        <f ca="1">IFERROR(__xludf.DUMMYFUNCTION("IMPORTRANGE(""https://docs.google.com/spreadsheets/d/1tdoBKaGub7dwA3U6UFTqxio9LNnvDCQjHKmttSEBsFQ/edit?usp=sharing"",""จัดที่ดิน!AP19"")"),116)</f>
        <v>116</v>
      </c>
      <c r="K703" s="224">
        <f ca="1">IF(I703&gt;0,J703*100/I703,0)</f>
        <v>165.71428571428572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IFERROR(__xludf.DUMMYFUNCTION("IMPORTRANGE(""https://docs.google.com/spreadsheets/d/1tdoBKaGub7dwA3U6UFTqxio9LNnvDCQjHKmttSEBsFQ/edit?usp=sharing"",""จัดที่ดิน!AQ19"")"),55.94)</f>
        <v>55.94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IFERROR(__xludf.DUMMYFUNCTION("IMPORTRANGE(""https://docs.google.com/spreadsheets/d/1eHaY18a8A9IcSdp1K8H6x8fbOy06t2VsZHhMHf-1x7Y/edit?usp=sharing"",""แผน!LK19"")"),4)</f>
        <v>4</v>
      </c>
      <c r="J705" s="184">
        <f ca="1">IFERROR(__xludf.DUMMYFUNCTION("IMPORTRANGE(""https://docs.google.com/spreadsheets/d/1tdoBKaGub7dwA3U6UFTqxio9LNnvDCQjHKmttSEBsFQ/edit?usp=sharing"",""จัดที่ดิน!AR19"")"),0)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IFERROR(__xludf.DUMMYFUNCTION("IMPORTRANGE(""https://docs.google.com/spreadsheets/d/1tdoBKaGub7dwA3U6UFTqxio9LNnvDCQjHKmttSEBsFQ/edit?usp=sharing"",""จัดที่ดิน!AS19"")"),0)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IFERROR(__xludf.DUMMYFUNCTION("IMPORTRANGE(""https://docs.google.com/spreadsheets/d/1eHaY18a8A9IcSdp1K8H6x8fbOy06t2VsZHhMHf-1x7Y/edit?usp=sharing"",""แผน!LJ19"")"),70)</f>
        <v>70</v>
      </c>
      <c r="J707" s="184">
        <f ca="1">IFERROR(__xludf.DUMMYFUNCTION("IMPORTRANGE(""https://docs.google.com/spreadsheets/d/1tdoBKaGub7dwA3U6UFTqxio9LNnvDCQjHKmttSEBsFQ/edit?usp=sharing"",""จัดที่ดิน!BN19"")"),110)</f>
        <v>110</v>
      </c>
      <c r="K707" s="224">
        <f ca="1">IF(I707&gt;0,J707*100/I707,0)</f>
        <v>157.14285714285714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IFERROR(__xludf.DUMMYFUNCTION("IMPORTRANGE(""https://docs.google.com/spreadsheets/d/1tdoBKaGub7dwA3U6UFTqxio9LNnvDCQjHKmttSEBsFQ/edit?usp=sharing"",""จัดที่ดิน!BO19"")"),52)</f>
        <v>52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IFERROR(__xludf.DUMMYFUNCTION("IMPORTRANGE(""https://docs.google.com/spreadsheets/d/1eHaY18a8A9IcSdp1K8H6x8fbOy06t2VsZHhMHf-1x7Y/edit?usp=sharing"",""แผน!LK19"")"),4)</f>
        <v>4</v>
      </c>
      <c r="J709" s="184">
        <f ca="1">IFERROR(__xludf.DUMMYFUNCTION("IMPORTRANGE(""https://docs.google.com/spreadsheets/d/1tdoBKaGub7dwA3U6UFTqxio9LNnvDCQjHKmttSEBsFQ/edit?usp=sharing"",""จัดที่ดิน!BP19"")"),13)</f>
        <v>13</v>
      </c>
      <c r="K709" s="224">
        <f ca="1">IF(I709&gt;0,J709*100/I709,0)</f>
        <v>325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IFERROR(__xludf.DUMMYFUNCTION("IMPORTRANGE(""https://docs.google.com/spreadsheets/d/1tdoBKaGub7dwA3U6UFTqxio9LNnvDCQjHKmttSEBsFQ/edit?usp=sharing"",""จัดที่ดิน!BQ19"")"),0)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IFERROR(__xludf.DUMMYFUNCTION("IMPORTRANGE(""https://docs.google.com/spreadsheets/d/1eHaY18a8A9IcSdp1K8H6x8fbOy06t2VsZHhMHf-1x7Y/edit?usp=sharing"",""แผน!GA19"")"),128)</f>
        <v>128</v>
      </c>
      <c r="J726" s="552">
        <f>J742+J746+J749</f>
        <v>128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IFERROR(__xludf.DUMMYFUNCTION("IMPORTRANGE(""https://docs.google.com/spreadsheets/d/1eHaY18a8A9IcSdp1K8H6x8fbOy06t2VsZHhMHf-1x7Y/edit?usp=sharing"",""แผน!FZ19"")"),1250)</f>
        <v>1250</v>
      </c>
      <c r="J727" s="552">
        <f>J752+J755</f>
        <v>1250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1008470</v>
      </c>
      <c r="R728" s="547">
        <f ca="1">R729+R730</f>
        <v>1008470</v>
      </c>
      <c r="S728" s="547">
        <f ca="1">S729+S730</f>
        <v>276785</v>
      </c>
      <c r="T728" s="547">
        <f ca="1">IF(Q728&gt;0,S728*100/Q728,0)</f>
        <v>27.446032108044861</v>
      </c>
      <c r="U728" s="547">
        <f ca="1">IF(R728&gt;0,S728*100/R728,0)</f>
        <v>27.446032108044861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276785</v>
      </c>
      <c r="T730" s="224">
        <f ca="1">IF(Q730&gt;0,S730*100/Q730,0)</f>
        <v>27.446032108044861</v>
      </c>
      <c r="U730" s="224">
        <f ca="1">IF(R730&gt;0,S730*100/R730,0)</f>
        <v>27.446032108044861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276785</v>
      </c>
      <c r="T731" s="224">
        <f ca="1">IF(Q731&gt;0,S731*100/Q731,0)</f>
        <v>27.446032108044861</v>
      </c>
      <c r="U731" s="224">
        <f ca="1">IF(R731&gt;0,S731*100/R731,0)</f>
        <v>27.446032108044861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IFERROR(__xludf.DUMMYFUNCTION("IMPORTRANGE(""https://docs.google.com/spreadsheets/d/1ItG2mGa2ceCfYo0BwxsXqNm01IGEUdYcSSLTEv9YCik/edit?usp=sharing"",""เบิกจ่ายกองทุน!Q19"")"),276785)</f>
        <v>276785</v>
      </c>
      <c r="T733" s="224">
        <f ca="1">IF(Q733&gt;0,S733*100/Q733,0)</f>
        <v>27.446032108044861</v>
      </c>
      <c r="U733" s="224">
        <f ca="1">IF(R733&gt;0,S733*100/R733,0)</f>
        <v>27.446032108044861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61" t="s">
        <v>278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IFERROR(__xludf.DUMMYFUNCTION("IMPORTRANGE(""https://docs.google.com/spreadsheets/d/1eHaY18a8A9IcSdp1K8H6x8fbOy06t2VsZHhMHf-1x7Y/edit?usp=sharing"",""แผน!GB19"")"),1000)</f>
        <v>1000</v>
      </c>
      <c r="J740" s="380">
        <v>1000</v>
      </c>
      <c r="K740" s="224">
        <f ca="1">IF(I740&gt;0,J740*100/I740,0)</f>
        <v>100</v>
      </c>
      <c r="L740" s="543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100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IFERROR(__xludf.DUMMYFUNCTION("IMPORTRANGE(""https://docs.google.com/spreadsheets/d/1eHaY18a8A9IcSdp1K8H6x8fbOy06t2VsZHhMHf-1x7Y/edit?usp=sharing"",""แผน!GC19"")"),100)</f>
        <v>100</v>
      </c>
      <c r="J742" s="555">
        <v>100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IFERROR(__xludf.DUMMYFUNCTION("IMPORTRANGE(""https://docs.google.com/spreadsheets/d/1eHaY18a8A9IcSdp1K8H6x8fbOy06t2VsZHhMHf-1x7Y/edit?usp=sharing"",""แผน!GD19"")"),250)</f>
        <v>250</v>
      </c>
      <c r="J744" s="555">
        <v>250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25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IFERROR(__xludf.DUMMYFUNCTION("IMPORTRANGE(""https://docs.google.com/spreadsheets/d/1eHaY18a8A9IcSdp1K8H6x8fbOy06t2VsZHhMHf-1x7Y/edit?usp=sharing"",""แผน!GE19"")"),25)</f>
        <v>25</v>
      </c>
      <c r="J746" s="555">
        <v>25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3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IFERROR(__xludf.DUMMYFUNCTION("IMPORTRANGE(""https://docs.google.com/spreadsheets/d/1eHaY18a8A9IcSdp1K8H6x8fbOy06t2VsZHhMHf-1x7Y/edit?usp=sharing"",""แผน!GF19"")"),3)</f>
        <v>3</v>
      </c>
      <c r="J749" s="555">
        <v>3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IFERROR(__xludf.DUMMYFUNCTION("IMPORTRANGE(""https://docs.google.com/spreadsheets/d/1eHaY18a8A9IcSdp1K8H6x8fbOy06t2VsZHhMHf-1x7Y/edit?usp=sharing"",""แผน!GB19"")"),1000)</f>
        <v>1000</v>
      </c>
      <c r="J752" s="555">
        <v>1000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IFERROR(__xludf.DUMMYFUNCTION("IMPORTRANGE(""https://docs.google.com/spreadsheets/d/1eHaY18a8A9IcSdp1K8H6x8fbOy06t2VsZHhMHf-1x7Y/edit?usp=sharing"",""แผน!GD19"")"),250)</f>
        <v>250</v>
      </c>
      <c r="J755" s="555">
        <v>250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65</v>
      </c>
      <c r="J758" s="552">
        <f>J772</f>
        <v>65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170</v>
      </c>
      <c r="J759" s="552">
        <f>J774</f>
        <v>170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491250</v>
      </c>
      <c r="R760" s="547">
        <f ca="1">R761+R762</f>
        <v>491250</v>
      </c>
      <c r="S760" s="547">
        <f ca="1">S761+S762</f>
        <v>255217</v>
      </c>
      <c r="T760" s="547">
        <f ca="1">IF(Q760&gt;0,S760*100/Q760,0)</f>
        <v>51.952569974554706</v>
      </c>
      <c r="U760" s="547">
        <f ca="1">IF(R760&gt;0,S760*100/R760,0)</f>
        <v>51.952569974554706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491250</v>
      </c>
      <c r="R762" s="224">
        <f ca="1">R765+R768</f>
        <v>491250</v>
      </c>
      <c r="S762" s="224">
        <f ca="1">S765+S768</f>
        <v>255217</v>
      </c>
      <c r="T762" s="224">
        <f ca="1">IF(Q762&gt;0,S762*100/Q762,0)</f>
        <v>51.952569974554706</v>
      </c>
      <c r="U762" s="224">
        <f ca="1">IF(R762&gt;0,S762*100/R762,0)</f>
        <v>51.952569974554706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491250</v>
      </c>
      <c r="R763" s="224">
        <f ca="1">R764+R765</f>
        <v>491250</v>
      </c>
      <c r="S763" s="224">
        <f ca="1">S764+S765</f>
        <v>255217</v>
      </c>
      <c r="T763" s="224">
        <f ca="1">IF(Q763&gt;0,S763*100/Q763,0)</f>
        <v>51.952569974554706</v>
      </c>
      <c r="U763" s="224">
        <f ca="1">IF(R763&gt;0,S763*100/R763,0)</f>
        <v>51.952569974554706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IFERROR(__xludf.DUMMYFUNCTION("IMPORTRANGE(""https://docs.google.com/spreadsheets/d/1ItG2mGa2ceCfYo0BwxsXqNm01IGEUdYcSSLTEv9YCik/edit?usp=sharing"",""เบิกจ่ายกองทุน!AA19"")"),491250)</f>
        <v>491250</v>
      </c>
      <c r="R765" s="224">
        <f ca="1">IFERROR(__xludf.DUMMYFUNCTION("IMPORTRANGE(""https://docs.google.com/spreadsheets/d/1ItG2mGa2ceCfYo0BwxsXqNm01IGEUdYcSSLTEv9YCik/edit?usp=sharing"",""เบิกจ่ายกองทุน!AB19"")"),491250)</f>
        <v>491250</v>
      </c>
      <c r="S765" s="224">
        <f ca="1">IFERROR(__xludf.DUMMYFUNCTION("IMPORTRANGE(""https://docs.google.com/spreadsheets/d/1ItG2mGa2ceCfYo0BwxsXqNm01IGEUdYcSSLTEv9YCik/edit?usp=sharing"",""เบิกจ่ายกองทุน!AC19"")"),255217)</f>
        <v>255217</v>
      </c>
      <c r="T765" s="224">
        <f ca="1">IF(Q765&gt;0,S765*100/Q765,0)</f>
        <v>51.952569974554706</v>
      </c>
      <c r="U765" s="224">
        <f ca="1">IF(R765&gt;0,S765*100/R765,0)</f>
        <v>51.952569974554706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IFERROR(__xludf.DUMMYFUNCTION("IMPORTRANGE(""https://docs.google.com/spreadsheets/d/1eHaY18a8A9IcSdp1K8H6x8fbOy06t2VsZHhMHf-1x7Y/edit?usp=sharing"",""แผน!FI19"")"),1)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IFERROR(__xludf.DUMMYFUNCTION("IMPORTRANGE(""https://docs.google.com/spreadsheets/d/1eHaY18a8A9IcSdp1K8H6x8fbOy06t2VsZHhMHf-1x7Y/edit?usp=sharing"",""แผน!FQ19"")"),65)</f>
        <v>65</v>
      </c>
      <c r="J772" s="380">
        <v>65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IFERROR(__xludf.DUMMYFUNCTION("IMPORTRANGE(""https://docs.google.com/spreadsheets/d/1eHaY18a8A9IcSdp1K8H6x8fbOy06t2VsZHhMHf-1x7Y/edit?usp=sharing"",""แผน!FR19"")"),170)</f>
        <v>170</v>
      </c>
      <c r="J774" s="380">
        <v>170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IFERROR(__xludf.DUMMYFUNCTION("IMPORTRANGE(""https://docs.google.com/spreadsheets/d/1eHaY18a8A9IcSdp1K8H6x8fbOy06t2VsZHhMHf-1x7Y/edit?usp=sharing"",""แผน!FS19"")"),170)</f>
        <v>170</v>
      </c>
      <c r="J775" s="380">
        <v>170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IFERROR(__xludf.DUMMYFUNCTION("IMPORTRANGE(""https://docs.google.com/spreadsheets/d/1eHaY18a8A9IcSdp1K8H6x8fbOy06t2VsZHhMHf-1x7Y/edit?usp=sharing"",""แผน!FT19"")"),65)</f>
        <v>65</v>
      </c>
      <c r="J776" s="542">
        <v>65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IFERROR(__xludf.DUMMYFUNCTION("IMPORTRANGE(""https://docs.google.com/spreadsheets/d/10OvvATaaLtwErnr3qtWFcTmtbfpFEt5Bsqel9sXx0uE/edit?usp=sharing"",""งานกองทุน!D19"")"),3032210.9)</f>
        <v>3032210.9</v>
      </c>
      <c r="J778" s="184">
        <f ca="1">IFERROR(__xludf.DUMMYFUNCTION("IMPORTRANGE(""https://docs.google.com/spreadsheets/d/10OvvATaaLtwErnr3qtWFcTmtbfpFEt5Bsqel9sXx0uE/edit?usp=sharing"",""งานกองทุน!F19"")"),1959120.44)</f>
        <v>1959120.44</v>
      </c>
      <c r="K778" s="224">
        <f ca="1">IF(I778&gt;0,J778*100/I778,0)</f>
        <v>64.610296071424315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IFERROR(__xludf.DUMMYFUNCTION("IMPORTRANGE(""https://docs.google.com/spreadsheets/d/10OvvATaaLtwErnr3qtWFcTmtbfpFEt5Bsqel9sXx0uE/edit?usp=sharing"",""งานกองทุน!C19"")"),180)</f>
        <v>180</v>
      </c>
      <c r="J779" s="184">
        <f ca="1">IFERROR(__xludf.DUMMYFUNCTION("IMPORTRANGE(""https://docs.google.com/spreadsheets/d/10OvvATaaLtwErnr3qtWFcTmtbfpFEt5Bsqel9sXx0uE/edit?usp=sharing"",""งานกองทุน!E19"")"),136)</f>
        <v>136</v>
      </c>
      <c r="K779" s="224">
        <f ca="1">IF(I779&gt;0,J779*100/I779,0)</f>
        <v>75.555555555555557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184">
        <f ca="1">IFERROR(__xludf.DUMMYFUNCTION("IMPORTRANGE(""https://docs.google.com/spreadsheets/d/10OvvATaaLtwErnr3qtWFcTmtbfpFEt5Bsqel9sXx0uE/edit?usp=sharing"",""งานกองทุน!K19"")"),589251.76)</f>
        <v>589251.76</v>
      </c>
      <c r="K780" s="224">
        <f ca="1">IF(I780&gt;0,J780*100/I780,0)</f>
        <v>41.31415079863293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IFERROR(__xludf.DUMMYFUNCTION("IMPORTRANGE(""https://docs.google.com/spreadsheets/d/10OvvATaaLtwErnr3qtWFcTmtbfpFEt5Bsqel9sXx0uE/edit?usp=sharing"",""งานกองทุน!H19"")"),75)</f>
        <v>75</v>
      </c>
      <c r="J781" s="184">
        <f ca="1">IFERROR(__xludf.DUMMYFUNCTION("IMPORTRANGE(""https://docs.google.com/spreadsheets/d/10OvvATaaLtwErnr3qtWFcTmtbfpFEt5Bsqel9sXx0uE/edit?usp=sharing"",""งานกองทุน!J19"")"),62)</f>
        <v>62</v>
      </c>
      <c r="K781" s="224">
        <f ca="1">IF(I781&gt;0,J781*100/I781,0)</f>
        <v>82.666666666666671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IFERROR(__xludf.DUMMYFUNCTION("IMPORTRANGE(""https://docs.google.com/spreadsheets/d/10OvvATaaLtwErnr3qtWFcTmtbfpFEt5Bsqel9sXx0uE/edit?usp=sharing"",""งานกองทุน!N19"")"),0)</f>
        <v>0</v>
      </c>
      <c r="J782" s="184">
        <f ca="1">IFERROR(__xludf.DUMMYFUNCTION("IMPORTRANGE(""https://docs.google.com/spreadsheets/d/10OvvATaaLtwErnr3qtWFcTmtbfpFEt5Bsqel9sXx0uE/edit?usp=sharing"",""งานกองทุน!P19"")"),0)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IFERROR(__xludf.DUMMYFUNCTION("IMPORTRANGE(""https://docs.google.com/spreadsheets/d/10OvvATaaLtwErnr3qtWFcTmtbfpFEt5Bsqel9sXx0uE/edit?usp=sharing"",""งานกองทุน!M19"")"),0)</f>
        <v>0</v>
      </c>
      <c r="J783" s="184">
        <f ca="1">IFERROR(__xludf.DUMMYFUNCTION("IMPORTRANGE(""https://docs.google.com/spreadsheets/d/10OvvATaaLtwErnr3qtWFcTmtbfpFEt5Bsqel9sXx0uE/edit?usp=sharing"",""งานกองทุน!O19"")"),0)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IFERROR(__xludf.DUMMYFUNCTION("IMPORTRANGE(""https://docs.google.com/spreadsheets/d/10OvvATaaLtwErnr3qtWFcTmtbfpFEt5Bsqel9sXx0uE/edit?usp=sharing"",""งานกองทุน!S19"")"),7140000)</f>
        <v>7140000</v>
      </c>
      <c r="J784" s="184">
        <f ca="1">IFERROR(__xludf.DUMMYFUNCTION("IMPORTRANGE(""https://docs.google.com/spreadsheets/d/10OvvATaaLtwErnr3qtWFcTmtbfpFEt5Bsqel9sXx0uE/edit?usp=sharing"",""งานกองทุน!U19"")"),4775000)</f>
        <v>4775000</v>
      </c>
      <c r="K784" s="224">
        <f ca="1">IF(I784&gt;0,J784*100/I784,0)</f>
        <v>66.876750700280112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IFERROR(__xludf.DUMMYFUNCTION("IMPORTRANGE(""https://docs.google.com/spreadsheets/d/10OvvATaaLtwErnr3qtWFcTmtbfpFEt5Bsqel9sXx0uE/edit?usp=sharing"",""งานกองทุน!R19"")"),255)</f>
        <v>255</v>
      </c>
      <c r="J785" s="188">
        <f ca="1">IFERROR(__xludf.DUMMYFUNCTION("IMPORTRANGE(""https://docs.google.com/spreadsheets/d/10OvvATaaLtwErnr3qtWFcTmtbfpFEt5Bsqel9sXx0uE/edit?usp=sharing"",""งานกองทุน!T19"")"),110)</f>
        <v>110</v>
      </c>
      <c r="K785" s="508">
        <f ca="1">IF(I785&gt;0,J785*100/I785,0)</f>
        <v>43.137254901960787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2EC0-F69B-4EBA-B6AF-67797AF1891D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333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915" t="s">
        <v>5</v>
      </c>
      <c r="I4" s="914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531"/>
      <c r="I5" s="514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515"/>
      <c r="I6" s="912" t="s">
        <v>9</v>
      </c>
      <c r="J6" s="913" t="s">
        <v>10</v>
      </c>
      <c r="K6" s="912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8557514</v>
      </c>
      <c r="M18" s="755">
        <f ca="1">M19+M20</f>
        <v>8788108</v>
      </c>
      <c r="N18" s="755">
        <f ca="1">N19+N20</f>
        <v>6584085.1899999995</v>
      </c>
      <c r="O18" s="755">
        <f ca="1">IF(L18&gt;0,N18*100/L18,0)</f>
        <v>76.939227794427211</v>
      </c>
      <c r="P18" s="755">
        <f ca="1">IF(M18&gt;0,N18*100/M18,0)</f>
        <v>74.920394583225416</v>
      </c>
      <c r="Q18" s="755">
        <f ca="1">Q19+Q20</f>
        <v>2999610.24</v>
      </c>
      <c r="R18" s="755">
        <f ca="1">R19+R20</f>
        <v>3006620</v>
      </c>
      <c r="S18" s="755">
        <f ca="1">S19+S20</f>
        <v>1862543.31</v>
      </c>
      <c r="T18" s="755">
        <f ca="1">IF(Q18&gt;0,S18*100/Q18,0)</f>
        <v>62.092844102305769</v>
      </c>
      <c r="U18" s="755">
        <f ca="1">IF(R18&gt;0,S18*100/R18,0)</f>
        <v>61.948078240682229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8557514</v>
      </c>
      <c r="M20" s="794">
        <f ca="1">M23+M26</f>
        <v>8788108</v>
      </c>
      <c r="N20" s="794">
        <f ca="1">N23+N26</f>
        <v>6584085.1899999995</v>
      </c>
      <c r="O20" s="794">
        <f ca="1">IF(L20&gt;0,N20*100/L20,0)</f>
        <v>76.939227794427211</v>
      </c>
      <c r="P20" s="794">
        <f ca="1">IF(M20&gt;0,N20*100/M20,0)</f>
        <v>74.920394583225416</v>
      </c>
      <c r="Q20" s="794">
        <f ca="1">Q23+Q26</f>
        <v>2999610.24</v>
      </c>
      <c r="R20" s="794">
        <f ca="1">R23+R26</f>
        <v>3006620</v>
      </c>
      <c r="S20" s="794">
        <f ca="1">S23+S26</f>
        <v>1862543.31</v>
      </c>
      <c r="T20" s="794">
        <f ca="1">IF(Q20&gt;0,S20*100/Q20,0)</f>
        <v>62.092844102305769</v>
      </c>
      <c r="U20" s="794">
        <f ca="1">IF(R20&gt;0,S20*100/R20,0)</f>
        <v>61.948078240682229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3633514</v>
      </c>
      <c r="M21" s="224">
        <f ca="1">M22+M23</f>
        <v>4344109</v>
      </c>
      <c r="N21" s="224">
        <f ca="1">N22+N23</f>
        <v>3444086.19</v>
      </c>
      <c r="O21" s="224">
        <f ca="1">IF(L21&gt;0,N21*100/L21,0)</f>
        <v>94.786649783102533</v>
      </c>
      <c r="P21" s="224">
        <f ca="1">IF(M21&gt;0,N21*100/M21,0)</f>
        <v>79.281762727408548</v>
      </c>
      <c r="Q21" s="224">
        <f ca="1">Q22+Q23</f>
        <v>2739610.24</v>
      </c>
      <c r="R21" s="224">
        <f ca="1">R22+R23</f>
        <v>2746620</v>
      </c>
      <c r="S21" s="224">
        <f ca="1">S22+S23</f>
        <v>1862543.31</v>
      </c>
      <c r="T21" s="224">
        <f ca="1">IF(Q21&gt;0,S21*100/Q21,0)</f>
        <v>67.98570405401901</v>
      </c>
      <c r="U21" s="224">
        <f ca="1">IF(R21&gt;0,S21*100/R21,0)</f>
        <v>67.812194988749809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3633514</v>
      </c>
      <c r="M23" s="224">
        <f ca="1">M49+M64+M77+M99+M122+M144+M162+M191+M178+M271+M287+M308+M325+M338+M361+M380+M418+M498+M518+M539+M560+M581+M604+M621+M647+M695+M719+M733+M765</f>
        <v>4344109</v>
      </c>
      <c r="N23" s="224">
        <f ca="1">N49+N64+N77+N99+N122+N144+N162+N191+N178+N271+N287+N308+N325+N338+N361+N380+N418+N498+N518+N539+N560+N581+N604+N621+N647+N695+N719+N733+N765</f>
        <v>3444086.19</v>
      </c>
      <c r="O23" s="224">
        <f ca="1">IF(L23&gt;0,N23*100/L23,0)</f>
        <v>94.786649783102533</v>
      </c>
      <c r="P23" s="224">
        <f ca="1">IF(M23&gt;0,N23*100/M23,0)</f>
        <v>79.281762727408548</v>
      </c>
      <c r="Q23" s="224">
        <f ca="1">Q77+Q99+Q122+Q144+Q162+Q178+Q191+Q271+Q287+Q308+Q338+Q380+Q397+Q418+Q498+Q604+Q621+Q647+Q695+Q719+Q733+Q765</f>
        <v>2739610.24</v>
      </c>
      <c r="R23" s="224">
        <f ca="1">R77+R99+R122+R144+R162+R178+R191+R271+R287+R308+R338+R380+R397+R418+R498+R604+R621+R647+R695+R719+R733+R765</f>
        <v>2746620</v>
      </c>
      <c r="S23" s="224">
        <f ca="1">S77+S99+S122+S144+S162+S178+S191+S271+S287+S308+S338+S380+S397+S418+S498+S604+S621+S647+S695+S719+S733+S765</f>
        <v>1862543.31</v>
      </c>
      <c r="T23" s="224">
        <f ca="1">IF(Q23&gt;0,S23*100/Q23,0)</f>
        <v>67.98570405401901</v>
      </c>
      <c r="U23" s="224">
        <f ca="1">IF(R23&gt;0,S23*100/R23,0)</f>
        <v>67.812194988749809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4924000</v>
      </c>
      <c r="M24" s="224">
        <f ca="1">M25+M26</f>
        <v>4443999</v>
      </c>
      <c r="N24" s="224">
        <f ca="1">N25+N26</f>
        <v>3139999</v>
      </c>
      <c r="O24" s="224">
        <f ca="1">IF(L24&gt;0,N24*100/L24,0)</f>
        <v>63.769272948822099</v>
      </c>
      <c r="P24" s="224">
        <f ca="1">IF(M24&gt;0,N24*100/M24,0)</f>
        <v>70.657059103748679</v>
      </c>
      <c r="Q24" s="224">
        <f ca="1">Q25+Q26</f>
        <v>260000</v>
      </c>
      <c r="R24" s="224">
        <f ca="1">R25+R26</f>
        <v>260000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4924000</v>
      </c>
      <c r="M26" s="224">
        <f ca="1">M52+M67+M80+M102+M125+M147+M165+M194+M181+M274+M290+M311+M328+M341+M364+M383+M421+M501+M521+M542+M563+M584+M607+M624+M650+M698+M722+M736+M768</f>
        <v>4443999</v>
      </c>
      <c r="N26" s="224">
        <f ca="1">N52+N67+N80+N102+N125+N147+N165+N194+N181+N274+N290+N311+N328+N341+N364+N383+N421+N501+N521+N542+N563+N584+N607+N624+N650+N698+N722+N736+N768</f>
        <v>3139999</v>
      </c>
      <c r="O26" s="224">
        <f ca="1">IF(L26&gt;0,N26*100/L26,0)</f>
        <v>63.769272948822099</v>
      </c>
      <c r="P26" s="224">
        <f ca="1">IF(M26&gt;0,N26*100/M26,0)</f>
        <v>70.657059103748679</v>
      </c>
      <c r="Q26" s="83">
        <f ca="1">Q80+Q102+Q125+Q147+Q165+Q181+Q194+Q274+Q290+Q311+Q341+Q383+Q400+Q421+Q501+Q607+Q624+Q650+Q698+Q722+Q736+Q768</f>
        <v>260000</v>
      </c>
      <c r="R26" s="83">
        <f ca="1">R80+R102+R125+R147+R165+R181+R194+R274+R290+R311+R341+R383+R400+R421+R501+R607+R624+R650+R698+R722+R736+R768</f>
        <v>260000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6339630</v>
      </c>
      <c r="M40" s="790">
        <f ca="1">M44+M59+M72+M94+M125+M139+M157+M173+M186+M266+M282+M303+M320+M333+M356</f>
        <v>6570224</v>
      </c>
      <c r="N40" s="790">
        <f ca="1">N44+N59+N72+N94+N125+N139+N157+N173+N186+N266+N282+N303+N320+N333+N356</f>
        <v>6187585.1100000003</v>
      </c>
      <c r="O40" s="790">
        <f ca="1">IF(L40&gt;0,N40*100/L40,0)</f>
        <v>97.601675649840757</v>
      </c>
      <c r="P40" s="790">
        <f ca="1">IF(M40&gt;0,N40*100/M40,0)</f>
        <v>94.176166748652705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400300</v>
      </c>
      <c r="M44" s="784">
        <f ca="1">M45+M46</f>
        <v>723155</v>
      </c>
      <c r="N44" s="784">
        <f ca="1">N45+N46</f>
        <v>679457</v>
      </c>
      <c r="O44" s="784">
        <f ca="1">IF(L44&gt;0,N44*100/L44,0)</f>
        <v>169.73694728953285</v>
      </c>
      <c r="P44" s="784">
        <f ca="1">IF(M44&gt;0,N44*100/M44,0)</f>
        <v>93.957312056198191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400300</v>
      </c>
      <c r="M46" s="778">
        <f ca="1">M49+M52</f>
        <v>723155</v>
      </c>
      <c r="N46" s="778">
        <f ca="1">N49+N52</f>
        <v>679457</v>
      </c>
      <c r="O46" s="778">
        <f ca="1">IF(L46&gt;0,N46*100/L46,0)</f>
        <v>169.73694728953285</v>
      </c>
      <c r="P46" s="778">
        <f ca="1">IF(M46&gt;0,N46*100/M46,0)</f>
        <v>93.957312056198191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400300</v>
      </c>
      <c r="M47" s="224">
        <f ca="1">M48+M49</f>
        <v>723155</v>
      </c>
      <c r="N47" s="224">
        <f ca="1">N48+N49</f>
        <v>679457</v>
      </c>
      <c r="O47" s="224">
        <f ca="1">IF(L47&gt;0,N47*100/L47,0)</f>
        <v>169.73694728953285</v>
      </c>
      <c r="P47" s="224">
        <f ca="1">IF(M47&gt;0,N47*100/M47,0)</f>
        <v>93.957312056198191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IFERROR(__xludf.DUMMYFUNCTION("IMPORTRANGE(""https://docs.google.com/spreadsheets/d/1-uDff_7J0KD5mKrp0Vvzr7lt3OU09vwQwhkpOPPYv2Y/edit?usp=sharing"",""งบพรบ!P20"")"),400300)</f>
        <v>400300</v>
      </c>
      <c r="M49" s="224">
        <f ca="1">IFERROR(__xludf.DUMMYFUNCTION("IMPORTRANGE(""https://docs.google.com/spreadsheets/d/1-uDff_7J0KD5mKrp0Vvzr7lt3OU09vwQwhkpOPPYv2Y/edit?usp=sharing"",""งบพรบ!V20"")"),723155)</f>
        <v>723155</v>
      </c>
      <c r="N49" s="224">
        <f ca="1">IFERROR(__xludf.DUMMYFUNCTION("IMPORTRANGE(""https://docs.google.com/spreadsheets/d/1-uDff_7J0KD5mKrp0Vvzr7lt3OU09vwQwhkpOPPYv2Y/edit?usp=sharing"",""งบพรบ!Y20"")"),679457)</f>
        <v>679457</v>
      </c>
      <c r="O49" s="224">
        <f ca="1">IF(L49&gt;0,N49*100/L49,0)</f>
        <v>169.73694728953285</v>
      </c>
      <c r="P49" s="224">
        <f ca="1">IF(M49&gt;0,N49*100/M49,0)</f>
        <v>93.957312056198191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IFERROR(__xludf.DUMMYFUNCTION("IMPORTRANGE(""https://docs.google.com/spreadsheets/d/1-uDff_7J0KD5mKrp0Vvzr7lt3OU09vwQwhkpOPPYv2Y/edit?usp=sharing"",""งบพรบ!S20"")"),0)</f>
        <v>0</v>
      </c>
      <c r="M52" s="224">
        <f ca="1">IFERROR(__xludf.DUMMYFUNCTION("IMPORTRANGE(""https://docs.google.com/spreadsheets/d/1-uDff_7J0KD5mKrp0Vvzr7lt3OU09vwQwhkpOPPYv2Y/edit?usp=sharing"",""งบพรบ!W20"")"),0)</f>
        <v>0</v>
      </c>
      <c r="N52" s="224">
        <f ca="1">IFERROR(__xludf.DUMMYFUNCTION("IMPORTRANGE(""https://docs.google.com/spreadsheets/d/1-uDff_7J0KD5mKrp0Vvzr7lt3OU09vwQwhkpOPPYv2Y/edit?usp=sharing"",""งบพรบ!Z20"")"),0)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4251700</v>
      </c>
      <c r="M59" s="772">
        <f ca="1">M60+M61</f>
        <v>3774199</v>
      </c>
      <c r="N59" s="772">
        <f ca="1">N60+N61</f>
        <v>3756034.75</v>
      </c>
      <c r="O59" s="772">
        <f ca="1">IF(L59&gt;0,N59*100/L59,0)</f>
        <v>88.34195145471223</v>
      </c>
      <c r="P59" s="772">
        <f ca="1">IF(M59&gt;0,N59*100/M59,0)</f>
        <v>99.518725695173998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4251700</v>
      </c>
      <c r="M61" s="766">
        <f ca="1">M64+M67</f>
        <v>3774199</v>
      </c>
      <c r="N61" s="766">
        <f ca="1">N64+N67</f>
        <v>3756034.75</v>
      </c>
      <c r="O61" s="766">
        <f ca="1">IF(L61&gt;0,N61*100/L61,0)</f>
        <v>88.34195145471223</v>
      </c>
      <c r="P61" s="766">
        <f ca="1">IF(M61&gt;0,N61*100/M61,0)</f>
        <v>99.518725695173998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631700</v>
      </c>
      <c r="M62" s="224">
        <f ca="1">M63+M64</f>
        <v>634200</v>
      </c>
      <c r="N62" s="224">
        <f ca="1">N63+N64</f>
        <v>616035.75</v>
      </c>
      <c r="O62" s="224">
        <f ca="1">IF(L62&gt;0,N62*100/L62,0)</f>
        <v>97.520302358714574</v>
      </c>
      <c r="P62" s="224">
        <f ca="1">IF(M62&gt;0,N62*100/M62,0)</f>
        <v>97.135879848628193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IFERROR(__xludf.DUMMYFUNCTION("IMPORTRANGE(""https://docs.google.com/spreadsheets/d/1-uDff_7J0KD5mKrp0Vvzr7lt3OU09vwQwhkpOPPYv2Y/edit?usp=sharing"",""งบพรบ!AC20"")"),631700)</f>
        <v>631700</v>
      </c>
      <c r="M64" s="224">
        <f ca="1">IFERROR(__xludf.DUMMYFUNCTION("IMPORTRANGE(""https://docs.google.com/spreadsheets/d/1-uDff_7J0KD5mKrp0Vvzr7lt3OU09vwQwhkpOPPYv2Y/edit?usp=sharing"",""งบพรบ!AH20"")"),634200)</f>
        <v>634200</v>
      </c>
      <c r="N64" s="224">
        <f ca="1">IFERROR(__xludf.DUMMYFUNCTION("IMPORTRANGE(""https://docs.google.com/spreadsheets/d/1-uDff_7J0KD5mKrp0Vvzr7lt3OU09vwQwhkpOPPYv2Y/edit?usp=sharing"",""งบพรบ!AJ20"")"),616035.75)</f>
        <v>616035.75</v>
      </c>
      <c r="O64" s="224">
        <f ca="1">IF(L64&gt;0,N64*100/L64,0)</f>
        <v>97.520302358714574</v>
      </c>
      <c r="P64" s="224">
        <f ca="1">IF(M64&gt;0,N64*100/M64,0)</f>
        <v>97.135879848628193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3620000</v>
      </c>
      <c r="M65" s="224">
        <f ca="1">M66+M67</f>
        <v>3139999</v>
      </c>
      <c r="N65" s="224">
        <f ca="1">N66+N67</f>
        <v>3139999</v>
      </c>
      <c r="O65" s="224">
        <f ca="1">IF(L65&gt;0,N65*100/L65,0)</f>
        <v>86.740303867403313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IFERROR(__xludf.DUMMYFUNCTION("IMPORTRANGE(""https://docs.google.com/spreadsheets/d/1-uDff_7J0KD5mKrp0Vvzr7lt3OU09vwQwhkpOPPYv2Y/edit?usp=sharing"",""งบพรบ!AF20"")"),3620000)</f>
        <v>3620000</v>
      </c>
      <c r="M67" s="508">
        <f ca="1">IFERROR(__xludf.DUMMYFUNCTION("IMPORTRANGE(""https://docs.google.com/spreadsheets/d/1-uDff_7J0KD5mKrp0Vvzr7lt3OU09vwQwhkpOPPYv2Y/edit?usp=sharing"",""งบพรบ!AI20"")"),3139999)</f>
        <v>3139999</v>
      </c>
      <c r="N67" s="508">
        <f ca="1">IFERROR(__xludf.DUMMYFUNCTION("IMPORTRANGE(""https://docs.google.com/spreadsheets/d/1-uDff_7J0KD5mKrp0Vvzr7lt3OU09vwQwhkpOPPYv2Y/edit?usp=sharing"",""งบพรบ!AK20"")"),3139999)</f>
        <v>3139999</v>
      </c>
      <c r="O67" s="508">
        <f ca="1">IF(L67&gt;0,N67*100/L67,0)</f>
        <v>86.740303867403313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2</v>
      </c>
      <c r="J70" s="756">
        <f>J82</f>
        <v>2</v>
      </c>
      <c r="K70" s="755">
        <f ca="1">IF(I70&gt;0,J70*100/I70,0)</f>
        <v>100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60</v>
      </c>
      <c r="J71" s="756">
        <f>J83</f>
        <v>60</v>
      </c>
      <c r="K71" s="755">
        <f ca="1">IF(I71&gt;0,J71*100/I71,0)</f>
        <v>100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374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612200</v>
      </c>
      <c r="M72" s="547">
        <f ca="1">M73+M74</f>
        <v>612200</v>
      </c>
      <c r="N72" s="547">
        <f ca="1">N73+N74</f>
        <v>574697</v>
      </c>
      <c r="O72" s="547">
        <f ca="1">IF(L72&gt;0,N72*100/L72,0)</f>
        <v>93.874060764456061</v>
      </c>
      <c r="P72" s="547">
        <f ca="1">IF(M72&gt;0,N72*100/M72,0)</f>
        <v>93.874060764456061</v>
      </c>
      <c r="Q72" s="547">
        <f ca="1">Q73+Q74</f>
        <v>724430</v>
      </c>
      <c r="R72" s="547">
        <f ca="1">R73+R74</f>
        <v>727240</v>
      </c>
      <c r="S72" s="547">
        <f ca="1">S73+S74</f>
        <v>468037</v>
      </c>
      <c r="T72" s="547">
        <f ca="1">IF(Q72&gt;0,S72*100/Q72,0)</f>
        <v>64.607622544621293</v>
      </c>
      <c r="U72" s="547">
        <f ca="1">IF(R72&gt;0,S72*100/R72,0)</f>
        <v>64.357983609262419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612200</v>
      </c>
      <c r="M74" s="224">
        <f ca="1">M77+M80</f>
        <v>612200</v>
      </c>
      <c r="N74" s="224">
        <f ca="1">N77+N80</f>
        <v>574697</v>
      </c>
      <c r="O74" s="224">
        <f ca="1">IF(L74&gt;0,N74*100/L74,0)</f>
        <v>93.874060764456061</v>
      </c>
      <c r="P74" s="224">
        <f ca="1">IF(M74&gt;0,N74*100/M74,0)</f>
        <v>93.874060764456061</v>
      </c>
      <c r="Q74" s="224">
        <f ca="1">Q77+Q80</f>
        <v>724430</v>
      </c>
      <c r="R74" s="224">
        <f ca="1">R77+R80</f>
        <v>727240</v>
      </c>
      <c r="S74" s="224">
        <f ca="1">S77+S80</f>
        <v>468037</v>
      </c>
      <c r="T74" s="224">
        <f ca="1">IF(Q74&gt;0,S74*100/Q74,0)</f>
        <v>64.607622544621293</v>
      </c>
      <c r="U74" s="224">
        <f ca="1">IF(R74&gt;0,S74*100/R74,0)</f>
        <v>64.357983609262419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612200</v>
      </c>
      <c r="M75" s="224">
        <f ca="1">M76+M77</f>
        <v>612200</v>
      </c>
      <c r="N75" s="224">
        <f ca="1">N76+N77</f>
        <v>574697</v>
      </c>
      <c r="O75" s="224">
        <f ca="1">IF(L75&gt;0,N75*100/L75,0)</f>
        <v>93.874060764456061</v>
      </c>
      <c r="P75" s="224">
        <f ca="1">IF(M75&gt;0,N75*100/M75,0)</f>
        <v>93.874060764456061</v>
      </c>
      <c r="Q75" s="224">
        <f ca="1">Q76+Q77</f>
        <v>724430</v>
      </c>
      <c r="R75" s="224">
        <f ca="1">R76+R77</f>
        <v>727240</v>
      </c>
      <c r="S75" s="224">
        <f ca="1">S76+S77</f>
        <v>468037</v>
      </c>
      <c r="T75" s="224">
        <f ca="1">IF(Q75&gt;0,S75*100/Q75,0)</f>
        <v>64.607622544621293</v>
      </c>
      <c r="U75" s="224">
        <f ca="1">IF(R75&gt;0,S75*100/R75,0)</f>
        <v>64.357983609262419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IFERROR(__xludf.DUMMYFUNCTION("IMPORTRANGE(""https://docs.google.com/spreadsheets/d/1-uDff_7J0KD5mKrp0Vvzr7lt3OU09vwQwhkpOPPYv2Y/edit?usp=sharing"",""งบพรบ!AM20"")"),612200)</f>
        <v>612200</v>
      </c>
      <c r="M77" s="224">
        <f ca="1">IFERROR(__xludf.DUMMYFUNCTION("IMPORTRANGE(""https://docs.google.com/spreadsheets/d/1-uDff_7J0KD5mKrp0Vvzr7lt3OU09vwQwhkpOPPYv2Y/edit?usp=sharing"",""งบพรบ!AR20"")"),612200)</f>
        <v>612200</v>
      </c>
      <c r="N77" s="224">
        <f ca="1">IFERROR(__xludf.DUMMYFUNCTION("IMPORTRANGE(""https://docs.google.com/spreadsheets/d/1-uDff_7J0KD5mKrp0Vvzr7lt3OU09vwQwhkpOPPYv2Y/edit?usp=sharing"",""งบพรบ!AT20"")"),574697)</f>
        <v>574697</v>
      </c>
      <c r="O77" s="224">
        <f ca="1">IF(L77&gt;0,N77*100/L77,0)</f>
        <v>93.874060764456061</v>
      </c>
      <c r="P77" s="224">
        <f ca="1">IF(M77&gt;0,N77*100/M77,0)</f>
        <v>93.874060764456061</v>
      </c>
      <c r="Q77" s="224">
        <f ca="1">IFERROR(__xludf.DUMMYFUNCTION("IMPORTRANGE(""https://docs.google.com/spreadsheets/d/1ItG2mGa2ceCfYo0BwxsXqNm01IGEUdYcSSLTEv9YCik/edit?usp=sharing"",""เบิกจ่ายกองทุน!BH20"")"),724430)</f>
        <v>724430</v>
      </c>
      <c r="R77" s="224">
        <f ca="1">IFERROR(__xludf.DUMMYFUNCTION("IMPORTRANGE(""https://docs.google.com/spreadsheets/d/1ItG2mGa2ceCfYo0BwxsXqNm01IGEUdYcSSLTEv9YCik/edit?usp=sharing"",""เบิกจ่ายกองทุน!BI20"")"),727240)</f>
        <v>727240</v>
      </c>
      <c r="S77" s="224">
        <f ca="1">IFERROR(__xludf.DUMMYFUNCTION("IMPORTRANGE(""https://docs.google.com/spreadsheets/d/1ItG2mGa2ceCfYo0BwxsXqNm01IGEUdYcSSLTEv9YCik/edit?usp=sharing"",""เบิกจ่ายกองทุน!BJ20"")"),468037)</f>
        <v>468037</v>
      </c>
      <c r="T77" s="224">
        <f ca="1">IF(Q77&gt;0,S77*100/Q77,0)</f>
        <v>64.607622544621293</v>
      </c>
      <c r="U77" s="224">
        <f ca="1">IF(R77&gt;0,S77*100/R77,0)</f>
        <v>64.357983609262419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IFERROR(__xludf.DUMMYFUNCTION("IMPORTRANGE(""https://docs.google.com/spreadsheets/d/1-uDff_7J0KD5mKrp0Vvzr7lt3OU09vwQwhkpOPPYv2Y/edit?usp=sharing"",""งบพรบ!AP20"")"),0)</f>
        <v>0</v>
      </c>
      <c r="M80" s="224">
        <f ca="1">IFERROR(__xludf.DUMMYFUNCTION("IMPORTRANGE(""https://docs.google.com/spreadsheets/d/1-uDff_7J0KD5mKrp0Vvzr7lt3OU09vwQwhkpOPPYv2Y/edit?usp=sharing"",""งบพรบ!AS20"")"),0)</f>
        <v>0</v>
      </c>
      <c r="N80" s="224">
        <f ca="1">IFERROR(__xludf.DUMMYFUNCTION("IMPORTRANGE(""https://docs.google.com/spreadsheets/d/1-uDff_7J0KD5mKrp0Vvzr7lt3OU09vwQwhkpOPPYv2Y/edit?usp=sharing"",""งบพรบ!AU20"")"),0)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IFERROR(__xludf.DUMMYFUNCTION("IMPORTRANGE(""https://docs.google.com/spreadsheets/d/1ItG2mGa2ceCfYo0BwxsXqNm01IGEUdYcSSLTEv9YCik/edit?usp=sharing"",""เบิกจ่ายกองทุน!BK20"")"),0)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IFERROR(__xludf.DUMMYFUNCTION("IMPORTRANGE(""https://docs.google.com/spreadsheets/d/1ItG2mGa2ceCfYo0BwxsXqNm01IGEUdYcSSLTEv9YCik/edit?usp=sharing"",""เบิกจ่ายกองทุน!BL20"")"),0)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IFERROR(__xludf.DUMMYFUNCTION("IMPORTRANGE(""https://docs.google.com/spreadsheets/d/1ItG2mGa2ceCfYo0BwxsXqNm01IGEUdYcSSLTEv9YCik/edit?usp=sharing"",""เบิกจ่ายกองทุน!BM20"")"),0)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374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2</v>
      </c>
      <c r="J82" s="338">
        <f>J84+J86+J88</f>
        <v>2</v>
      </c>
      <c r="K82" s="694">
        <f ca="1">IF(I82&gt;0,J82*100/I82,0)</f>
        <v>100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60</v>
      </c>
      <c r="J83" s="338">
        <f>J85+J87+J89</f>
        <v>60</v>
      </c>
      <c r="K83" s="694">
        <f ca="1">IF(I83&gt;0,J83*100/I83,0)</f>
        <v>100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IFERROR(__xludf.DUMMYFUNCTION("IMPORTRANGE(""https://docs.google.com/spreadsheets/d/1eHaY18a8A9IcSdp1K8H6x8fbOy06t2VsZHhMHf-1x7Y/edit?usp=sharing"",""แผน!H20"")"),1)</f>
        <v>1</v>
      </c>
      <c r="J84" s="380">
        <v>1</v>
      </c>
      <c r="K84" s="569">
        <f ca="1">IF(I84&gt;0,J84*100/I84,0)</f>
        <v>100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IFERROR(__xludf.DUMMYFUNCTION("IMPORTRANGE(""https://docs.google.com/spreadsheets/d/1eHaY18a8A9IcSdp1K8H6x8fbOy06t2VsZHhMHf-1x7Y/edit?usp=sharing"",""แผน!I20"")"),30)</f>
        <v>30</v>
      </c>
      <c r="J85" s="380">
        <v>30</v>
      </c>
      <c r="K85" s="569">
        <f ca="1">IF(I85&gt;0,J85*100/I85,0)</f>
        <v>100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IFERROR(__xludf.DUMMYFUNCTION("IMPORTRANGE(""https://docs.google.com/spreadsheets/d/1eHaY18a8A9IcSdp1K8H6x8fbOy06t2VsZHhMHf-1x7Y/edit?usp=sharing"",""แผน!F20"")"),0)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IFERROR(__xludf.DUMMYFUNCTION("IMPORTRANGE(""https://docs.google.com/spreadsheets/d/1eHaY18a8A9IcSdp1K8H6x8fbOy06t2VsZHhMHf-1x7Y/edit?usp=sharing"",""แผน!G20"")"),0)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IFERROR(__xludf.DUMMYFUNCTION("IMPORTRANGE(""https://docs.google.com/spreadsheets/d/1eHaY18a8A9IcSdp1K8H6x8fbOy06t2VsZHhMHf-1x7Y/edit?usp=sharing"",""แผน!D20"")"),1)</f>
        <v>1</v>
      </c>
      <c r="J88" s="380">
        <v>1</v>
      </c>
      <c r="K88" s="569">
        <f ca="1">IF(I88&gt;0,J88*100/I88,0)</f>
        <v>100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IFERROR(__xludf.DUMMYFUNCTION("IMPORTRANGE(""https://docs.google.com/spreadsheets/d/1eHaY18a8A9IcSdp1K8H6x8fbOy06t2VsZHhMHf-1x7Y/edit?usp=sharing"",""แผน!E20"")"),30)</f>
        <v>30</v>
      </c>
      <c r="J89" s="380">
        <v>30</v>
      </c>
      <c r="K89" s="569">
        <f ca="1">IF(I89&gt;0,J89*100/I89,0)</f>
        <v>100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IFERROR(__xludf.DUMMYFUNCTION("IMPORTRANGE(""https://docs.google.com/spreadsheets/d/1eHaY18a8A9IcSdp1K8H6x8fbOy06t2VsZHhMHf-1x7Y/edit?usp=sharing"",""แผน!J20"")"),2)</f>
        <v>2</v>
      </c>
      <c r="J90" s="380">
        <v>1</v>
      </c>
      <c r="K90" s="569">
        <f ca="1">IF(I90&gt;0,J90*100/I90,0)</f>
        <v>50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0</v>
      </c>
      <c r="J92" s="756">
        <f>J108</f>
        <v>0</v>
      </c>
      <c r="K92" s="755">
        <f ca="1">IF(I92&gt;0,J92*100/I92,0)</f>
        <v>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hidden="1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0</v>
      </c>
      <c r="J93" s="756">
        <f>J109</f>
        <v>0</v>
      </c>
      <c r="K93" s="755">
        <f ca="1">IF(I93&gt;0,J93*100/I93,0)</f>
        <v>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hidden="1" x14ac:dyDescent="0.3">
      <c r="A94" s="128"/>
      <c r="B94" s="40"/>
      <c r="C94" s="129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0</v>
      </c>
      <c r="M94" s="547">
        <f ca="1">M95+M96</f>
        <v>0</v>
      </c>
      <c r="N94" s="547">
        <f ca="1">N95+N96</f>
        <v>0</v>
      </c>
      <c r="O94" s="547">
        <f ca="1">IF(L94&gt;0,N94*100/L94,0)</f>
        <v>0</v>
      </c>
      <c r="P94" s="547">
        <f ca="1">IF(M94&gt;0,N94*100/M94,0)</f>
        <v>0</v>
      </c>
      <c r="Q94" s="547">
        <f ca="1">Q95+Q96</f>
        <v>0</v>
      </c>
      <c r="R94" s="547">
        <f ca="1">R95+R96</f>
        <v>0</v>
      </c>
      <c r="S94" s="547">
        <f ca="1">S95+S96</f>
        <v>0</v>
      </c>
      <c r="T94" s="547">
        <f ca="1">IF(Q94&gt;0,S94*100/Q94,0)</f>
        <v>0</v>
      </c>
      <c r="U94" s="547">
        <f ca="1">IF(R94&gt;0,S94*100/R94,0)</f>
        <v>0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hidden="1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IFERROR(__xludf.DUMMYFUNCTION("IMPORTRANGE(""https://docs.google.com/spreadsheets/d/1-uDff_7J0KD5mKrp0Vvzr7lt3OU09vwQwhkpOPPYv2Y/edit?usp=sharing"",""งบพรบ!AW20"")"),0)</f>
        <v>0</v>
      </c>
      <c r="M99" s="224">
        <f ca="1">IFERROR(__xludf.DUMMYFUNCTION("IMPORTRANGE(""https://docs.google.com/spreadsheets/d/1-uDff_7J0KD5mKrp0Vvzr7lt3OU09vwQwhkpOPPYv2Y/edit?usp=sharing"",""งบพรบ!BB20"")"),0)</f>
        <v>0</v>
      </c>
      <c r="N99" s="224">
        <f ca="1">IFERROR(__xludf.DUMMYFUNCTION("IMPORTRANGE(""https://docs.google.com/spreadsheets/d/1-uDff_7J0KD5mKrp0Vvzr7lt3OU09vwQwhkpOPPYv2Y/edit?usp=sharing"",""งบพรบ!BD20"")"),0)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IFERROR(__xludf.DUMMYFUNCTION("IMPORTRANGE(""https://docs.google.com/spreadsheets/d/1ItG2mGa2ceCfYo0BwxsXqNm01IGEUdYcSSLTEv9YCik/edit?usp=sharing"",""เบิกจ่ายกองทุน!AL20"")"),0)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hidden="1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IFERROR(__xludf.DUMMYFUNCTION("IMPORTRANGE(""https://docs.google.com/spreadsheets/d/1-uDff_7J0KD5mKrp0Vvzr7lt3OU09vwQwhkpOPPYv2Y/edit?usp=sharing"",""งบพรบ!AZ20"")"),0)</f>
        <v>0</v>
      </c>
      <c r="M102" s="224">
        <f ca="1">IFERROR(__xludf.DUMMYFUNCTION("IMPORTRANGE(""https://docs.google.com/spreadsheets/d/1-uDff_7J0KD5mKrp0Vvzr7lt3OU09vwQwhkpOPPYv2Y/edit?usp=sharing"",""งบพรบ!BC20"")"),0)</f>
        <v>0</v>
      </c>
      <c r="N102" s="224">
        <f ca="1">IFERROR(__xludf.DUMMYFUNCTION("IMPORTRANGE(""https://docs.google.com/spreadsheets/d/1-uDff_7J0KD5mKrp0Vvzr7lt3OU09vwQwhkpOPPYv2Y/edit?usp=sharing"",""งบพรบ!BE20"")"),0)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hidden="1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IFERROR(__xludf.DUMMYFUNCTION("IMPORTRANGE(""https://docs.google.com/spreadsheets/d/1eHaY18a8A9IcSdp1K8H6x8fbOy06t2VsZHhMHf-1x7Y/edit?usp=sharing"",""แผน!N20"")"),0)</f>
        <v>0</v>
      </c>
      <c r="J108" s="380">
        <v>0</v>
      </c>
      <c r="K108" s="224">
        <f ca="1">IF(I108&gt;0,J108*100/I108,0)</f>
        <v>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IFERROR(__xludf.DUMMYFUNCTION("IMPORTRANGE(""https://docs.google.com/spreadsheets/d/1eHaY18a8A9IcSdp1K8H6x8fbOy06t2VsZHhMHf-1x7Y/edit?usp=sharing"",""แผน!O20"")"),0)</f>
        <v>0</v>
      </c>
      <c r="J109" s="380">
        <v>0</v>
      </c>
      <c r="K109" s="224">
        <f ca="1">IF(I109&gt;0,J109*100/I109,0)</f>
        <v>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hidden="1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682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IFERROR(__xludf.DUMMYFUNCTION("IMPORTRANGE(""https://docs.google.com/spreadsheets/d/1eHaY18a8A9IcSdp1K8H6x8fbOy06t2VsZHhMHf-1x7Y/edit?usp=sharing"",""แผน!R20"")"),0)</f>
        <v>0</v>
      </c>
      <c r="J114" s="380">
        <v>0</v>
      </c>
      <c r="K114" s="224">
        <f ca="1">IF(I114&gt;0,J114*100/I114,0)</f>
        <v>0</v>
      </c>
      <c r="L114" s="543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60</v>
      </c>
      <c r="J116" s="756">
        <f>J127</f>
        <v>60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322280</v>
      </c>
      <c r="R117" s="547">
        <f ca="1">R118+R119</f>
        <v>322280</v>
      </c>
      <c r="S117" s="547">
        <f ca="1">S118+S119</f>
        <v>227125</v>
      </c>
      <c r="T117" s="547">
        <f ca="1">IF(Q117&gt;0,S117*100/Q117,0)</f>
        <v>70.474432170783174</v>
      </c>
      <c r="U117" s="547">
        <f ca="1">IF(R117&gt;0,S117*100/R117,0)</f>
        <v>70.474432170783174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322280</v>
      </c>
      <c r="R119" s="224">
        <f ca="1">R122+R125</f>
        <v>322280</v>
      </c>
      <c r="S119" s="224">
        <f ca="1">S122+S125</f>
        <v>227125</v>
      </c>
      <c r="T119" s="224">
        <f ca="1">IF(Q119&gt;0,S119*100/Q119,0)</f>
        <v>70.474432170783174</v>
      </c>
      <c r="U119" s="224">
        <f ca="1">IF(R119&gt;0,S119*100/R119,0)</f>
        <v>70.474432170783174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322280</v>
      </c>
      <c r="R120" s="224">
        <f ca="1">R121+R122</f>
        <v>322280</v>
      </c>
      <c r="S120" s="224">
        <f ca="1">S121+S122</f>
        <v>227125</v>
      </c>
      <c r="T120" s="224">
        <f ca="1">IF(Q120&gt;0,S120*100/Q120,0)</f>
        <v>70.474432170783174</v>
      </c>
      <c r="U120" s="224">
        <f ca="1">IF(R120&gt;0,S120*100/R120,0)</f>
        <v>70.474432170783174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IFERROR(__xludf.DUMMYFUNCTION("IMPORTRANGE(""https://docs.google.com/spreadsheets/d/1-uDff_7J0KD5mKrp0Vvzr7lt3OU09vwQwhkpOPPYv2Y/edit?usp=sharing"",""งบพรบ!BG20"")"),0)</f>
        <v>0</v>
      </c>
      <c r="M122" s="224">
        <f ca="1">IFERROR(__xludf.DUMMYFUNCTION("IMPORTRANGE(""https://docs.google.com/spreadsheets/d/1-uDff_7J0KD5mKrp0Vvzr7lt3OU09vwQwhkpOPPYv2Y/edit?usp=sharing"",""งบพรบ!BL20"")"),0)</f>
        <v>0</v>
      </c>
      <c r="N122" s="224">
        <f ca="1">IFERROR(__xludf.DUMMYFUNCTION("IMPORTRANGE(""https://docs.google.com/spreadsheets/d/1-uDff_7J0KD5mKrp0Vvzr7lt3OU09vwQwhkpOPPYv2Y/edit?usp=sharing"",""งบพรบ!BN20"")"),0)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IFERROR(__xludf.DUMMYFUNCTION("IMPORTRANGE(""https://docs.google.com/spreadsheets/d/1ItG2mGa2ceCfYo0BwxsXqNm01IGEUdYcSSLTEv9YCik/edit?usp=sharing"",""เบิกจ่ายกองทุน!U20"")"),322280)</f>
        <v>322280</v>
      </c>
      <c r="R122" s="224">
        <f ca="1">IFERROR(__xludf.DUMMYFUNCTION("IMPORTRANGE(""https://docs.google.com/spreadsheets/d/1ItG2mGa2ceCfYo0BwxsXqNm01IGEUdYcSSLTEv9YCik/edit?usp=sharing"",""เบิกจ่ายกองทุน!V20"")"),322280)</f>
        <v>322280</v>
      </c>
      <c r="S122" s="224">
        <f ca="1">IFERROR(__xludf.DUMMYFUNCTION("IMPORTRANGE(""https://docs.google.com/spreadsheets/d/1ItG2mGa2ceCfYo0BwxsXqNm01IGEUdYcSSLTEv9YCik/edit?usp=sharing"",""เบิกจ่ายกองทุน!W20"")"),227125)</f>
        <v>227125</v>
      </c>
      <c r="T122" s="224">
        <f ca="1">IF(Q122&gt;0,S122*100/Q122,0)</f>
        <v>70.474432170783174</v>
      </c>
      <c r="U122" s="224">
        <f ca="1">IF(R122&gt;0,S122*100/R122,0)</f>
        <v>70.474432170783174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IFERROR(__xludf.DUMMYFUNCTION("IMPORTRANGE(""https://docs.google.com/spreadsheets/d/1-uDff_7J0KD5mKrp0Vvzr7lt3OU09vwQwhkpOPPYv2Y/edit?usp=sharing"",""งบพรบ!BJ20"")"),0)</f>
        <v>0</v>
      </c>
      <c r="M125" s="224">
        <f ca="1">IFERROR(__xludf.DUMMYFUNCTION("IMPORTRANGE(""https://docs.google.com/spreadsheets/d/1-uDff_7J0KD5mKrp0Vvzr7lt3OU09vwQwhkpOPPYv2Y/edit?usp=sharing"",""งบพรบ!BM20"")"),0)</f>
        <v>0</v>
      </c>
      <c r="N125" s="224">
        <f ca="1">IFERROR(__xludf.DUMMYFUNCTION("IMPORTRANGE(""https://docs.google.com/spreadsheets/d/1-uDff_7J0KD5mKrp0Vvzr7lt3OU09vwQwhkpOPPYv2Y/edit?usp=sharing"",""งบพรบ!BO20"")"),0)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IFERROR(__xludf.DUMMYFUNCTION("IMPORTRANGE(""https://docs.google.com/spreadsheets/d/1ItG2mGa2ceCfYo0BwxsXqNm01IGEUdYcSSLTEv9YCik/edit?usp=sharing"",""เบิกจ่ายกองทุน!X20"")"),0)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IFERROR(__xludf.DUMMYFUNCTION("IMPORTRANGE(""https://docs.google.com/spreadsheets/d/1ItG2mGa2ceCfYo0BwxsXqNm01IGEUdYcSSLTEv9YCik/edit?usp=sharing"",""เบิกจ่ายกองทุน!Y20"")"),0)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IFERROR(__xludf.DUMMYFUNCTION("IMPORTRANGE(""https://docs.google.com/spreadsheets/d/1ItG2mGa2ceCfYo0BwxsXqNm01IGEUdYcSSLTEv9YCik/edit?usp=sharing"",""เบิกจ่ายกองทุน!Z20"")"),0)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IFERROR(__xludf.DUMMYFUNCTION("IMPORTRANGE(""https://docs.google.com/spreadsheets/d/1eHaY18a8A9IcSdp1K8H6x8fbOy06t2VsZHhMHf-1x7Y/edit?usp=sharing"",""แผน!FF20"")"),60)</f>
        <v>60</v>
      </c>
      <c r="J127" s="380">
        <v>60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IFERROR(__xludf.DUMMYFUNCTION("IMPORTRANGE(""https://docs.google.com/spreadsheets/d/1eHaY18a8A9IcSdp1K8H6x8fbOy06t2VsZHhMHf-1x7Y/edit?usp=sharing"",""แผน!FG20"")"),3)</f>
        <v>3</v>
      </c>
      <c r="J128" s="380">
        <v>3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IFERROR(__xludf.DUMMYFUNCTION("IMPORTRANGE(""https://docs.google.com/spreadsheets/d/1eHaY18a8A9IcSdp1K8H6x8fbOy06t2VsZHhMHf-1x7Y/edit?usp=sharing"",""แผน!FH20"")"),30)</f>
        <v>30</v>
      </c>
      <c r="J129" s="380">
        <v>30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IFERROR(__xludf.DUMMYFUNCTION("IMPORTRANGE(""https://docs.google.com/spreadsheets/d/1eHaY18a8A9IcSdp1K8H6x8fbOy06t2VsZHhMHf-1x7Y/edit?usp=sharing"",""แผน!FI20"")"),2)</f>
        <v>2</v>
      </c>
      <c r="J130" s="380">
        <v>2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2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40</v>
      </c>
      <c r="J137" s="756">
        <f>J152</f>
        <v>40</v>
      </c>
      <c r="K137" s="755">
        <f ca="1">IF(I137&gt;0,J137*100/I137,0)</f>
        <v>100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4</v>
      </c>
      <c r="J138" s="756">
        <f>J153</f>
        <v>4</v>
      </c>
      <c r="K138" s="755">
        <f ca="1">IF(I138&gt;0,J138*100/I138,0)</f>
        <v>100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374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74800</v>
      </c>
      <c r="M139" s="547">
        <f ca="1">M140+M141</f>
        <v>69800</v>
      </c>
      <c r="N139" s="547">
        <f ca="1">N140+N141</f>
        <v>66650</v>
      </c>
      <c r="O139" s="547">
        <f ca="1">IF(L139&gt;0,N139*100/L139,0)</f>
        <v>89.104278074866315</v>
      </c>
      <c r="P139" s="547">
        <f ca="1">IF(M139&gt;0,N139*100/M139,0)</f>
        <v>95.487106017191977</v>
      </c>
      <c r="Q139" s="547">
        <f ca="1">Q140+Q141</f>
        <v>304860</v>
      </c>
      <c r="R139" s="547">
        <f ca="1">R140+R141</f>
        <v>304860</v>
      </c>
      <c r="S139" s="547">
        <f ca="1">S140+S141</f>
        <v>25795</v>
      </c>
      <c r="T139" s="547">
        <f ca="1">IF(Q139&gt;0,S139*100/Q139,0)</f>
        <v>8.4612609066456734</v>
      </c>
      <c r="U139" s="547">
        <f ca="1">IF(R139&gt;0,S139*100/R139,0)</f>
        <v>8.4612609066456734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74800</v>
      </c>
      <c r="M141" s="224">
        <f ca="1">M144+M147</f>
        <v>69800</v>
      </c>
      <c r="N141" s="224">
        <f ca="1">N144+N147</f>
        <v>66650</v>
      </c>
      <c r="O141" s="224">
        <f ca="1">IF(L141&gt;0,N141*100/L141,0)</f>
        <v>89.104278074866315</v>
      </c>
      <c r="P141" s="224">
        <f ca="1">IF(M141&gt;0,N141*100/M141,0)</f>
        <v>95.487106017191977</v>
      </c>
      <c r="Q141" s="224">
        <f ca="1">Q144+Q147</f>
        <v>304860</v>
      </c>
      <c r="R141" s="224">
        <f ca="1">R144+R147</f>
        <v>304860</v>
      </c>
      <c r="S141" s="224">
        <f ca="1">S144+S147</f>
        <v>25795</v>
      </c>
      <c r="T141" s="224">
        <f ca="1">IF(Q141&gt;0,S141*100/Q141,0)</f>
        <v>8.4612609066456734</v>
      </c>
      <c r="U141" s="224">
        <f ca="1">IF(R141&gt;0,S141*100/R141,0)</f>
        <v>8.4612609066456734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74800</v>
      </c>
      <c r="M142" s="224">
        <f ca="1">M143+M144</f>
        <v>69800</v>
      </c>
      <c r="N142" s="224">
        <f ca="1">N143+N144</f>
        <v>66650</v>
      </c>
      <c r="O142" s="224">
        <f ca="1">IF(L142&gt;0,N142*100/L142,0)</f>
        <v>89.104278074866315</v>
      </c>
      <c r="P142" s="224">
        <f ca="1">IF(M142&gt;0,N142*100/M142,0)</f>
        <v>95.487106017191977</v>
      </c>
      <c r="Q142" s="224">
        <f ca="1">Q143+Q144</f>
        <v>44860</v>
      </c>
      <c r="R142" s="224">
        <f ca="1">R143+R144</f>
        <v>44860</v>
      </c>
      <c r="S142" s="224">
        <f ca="1">S143+S144</f>
        <v>25795</v>
      </c>
      <c r="T142" s="224">
        <f ca="1">IF(Q142&gt;0,S142*100/Q142,0)</f>
        <v>57.501114578689254</v>
      </c>
      <c r="U142" s="224">
        <f ca="1">IF(R142&gt;0,S142*100/R142,0)</f>
        <v>57.501114578689254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IFERROR(__xludf.DUMMYFUNCTION("IMPORTRANGE(""https://docs.google.com/spreadsheets/d/1-uDff_7J0KD5mKrp0Vvzr7lt3OU09vwQwhkpOPPYv2Y/edit?usp=sharing"",""งบพรบ!BQ20"")"),74800)</f>
        <v>74800</v>
      </c>
      <c r="M144" s="224">
        <f ca="1">IFERROR(__xludf.DUMMYFUNCTION("IMPORTRANGE(""https://docs.google.com/spreadsheets/d/1-uDff_7J0KD5mKrp0Vvzr7lt3OU09vwQwhkpOPPYv2Y/edit?usp=sharing"",""งบพรบ!BV20"")"),69800)</f>
        <v>69800</v>
      </c>
      <c r="N144" s="224">
        <f ca="1">IFERROR(__xludf.DUMMYFUNCTION("IMPORTRANGE(""https://docs.google.com/spreadsheets/d/1-uDff_7J0KD5mKrp0Vvzr7lt3OU09vwQwhkpOPPYv2Y/edit?usp=sharing"",""งบพรบ!BX20"")"),66650)</f>
        <v>66650</v>
      </c>
      <c r="O144" s="224">
        <f ca="1">IF(L144&gt;0,N144*100/L144,0)</f>
        <v>89.104278074866315</v>
      </c>
      <c r="P144" s="224">
        <f ca="1">IF(M144&gt;0,N144*100/M144,0)</f>
        <v>95.487106017191977</v>
      </c>
      <c r="Q144" s="224">
        <f ca="1">IFERROR(__xludf.DUMMYFUNCTION("IMPORTRANGE(""https://docs.google.com/spreadsheets/d/1ItG2mGa2ceCfYo0BwxsXqNm01IGEUdYcSSLTEv9YCik/edit?usp=sharing"",""เบิกจ่ายกองทุน!CF20"")"),44860)</f>
        <v>44860</v>
      </c>
      <c r="R144" s="224">
        <f ca="1">IFERROR(__xludf.DUMMYFUNCTION("IMPORTRANGE(""https://docs.google.com/spreadsheets/d/1ItG2mGa2ceCfYo0BwxsXqNm01IGEUdYcSSLTEv9YCik/edit?usp=sharing"",""เบิกจ่ายกองทุน!CG20"")"),44860)</f>
        <v>44860</v>
      </c>
      <c r="S144" s="224">
        <f ca="1">IFERROR(__xludf.DUMMYFUNCTION("IMPORTRANGE(""https://docs.google.com/spreadsheets/d/1ItG2mGa2ceCfYo0BwxsXqNm01IGEUdYcSSLTEv9YCik/edit?usp=sharing"",""เบิกจ่ายกองทุน!CH20"")"),25795)</f>
        <v>25795</v>
      </c>
      <c r="T144" s="224">
        <f ca="1">IF(Q144&gt;0,S144*100/Q144,0)</f>
        <v>57.501114578689254</v>
      </c>
      <c r="U144" s="224">
        <f ca="1">IF(R144&gt;0,S144*100/R144,0)</f>
        <v>57.501114578689254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260000</v>
      </c>
      <c r="R145" s="224">
        <f ca="1">R146+R147</f>
        <v>260000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IFERROR(__xludf.DUMMYFUNCTION("IMPORTRANGE(""https://docs.google.com/spreadsheets/d/1-uDff_7J0KD5mKrp0Vvzr7lt3OU09vwQwhkpOPPYv2Y/edit?usp=sharing"",""งบพรบ!BT20"")"),0)</f>
        <v>0</v>
      </c>
      <c r="M147" s="224">
        <f ca="1">IFERROR(__xludf.DUMMYFUNCTION("IMPORTRANGE(""https://docs.google.com/spreadsheets/d/1-uDff_7J0KD5mKrp0Vvzr7lt3OU09vwQwhkpOPPYv2Y/edit?usp=sharing"",""งบพรบ!BW20"")"),0)</f>
        <v>0</v>
      </c>
      <c r="N147" s="224">
        <f ca="1">IFERROR(__xludf.DUMMYFUNCTION("IMPORTRANGE(""https://docs.google.com/spreadsheets/d/1-uDff_7J0KD5mKrp0Vvzr7lt3OU09vwQwhkpOPPYv2Y/edit?usp=sharing"",""งบพรบ!BY20"")"),0)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IFERROR(__xludf.DUMMYFUNCTION("IMPORTRANGE(""https://docs.google.com/spreadsheets/d/1ItG2mGa2ceCfYo0BwxsXqNm01IGEUdYcSSLTEv9YCik/edit?usp=sharing"",""เบิกจ่ายกองทุน!CI20"")"),260000)</f>
        <v>260000</v>
      </c>
      <c r="R147" s="224">
        <f ca="1">IFERROR(__xludf.DUMMYFUNCTION("IMPORTRANGE(""https://docs.google.com/spreadsheets/d/1ItG2mGa2ceCfYo0BwxsXqNm01IGEUdYcSSLTEv9YCik/edit?usp=sharing"",""เบิกจ่ายกองทุน!CJ20"")"),260000)</f>
        <v>260000</v>
      </c>
      <c r="S147" s="224">
        <f ca="1">IFERROR(__xludf.DUMMYFUNCTION("IMPORTRANGE(""https://docs.google.com/spreadsheets/d/1ItG2mGa2ceCfYo0BwxsXqNm01IGEUdYcSSLTEv9YCik/edit?usp=sharing"",""เบิกจ่ายกองทุน!CK20"")"),0)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374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IFERROR(__xludf.DUMMYFUNCTION("IMPORTRANGE(""https://docs.google.com/spreadsheets/d/1eHaY18a8A9IcSdp1K8H6x8fbOy06t2VsZHhMHf-1x7Y/edit?usp=sharing"",""แผน!U20"")"),20)</f>
        <v>20</v>
      </c>
      <c r="J150" s="380">
        <v>20</v>
      </c>
      <c r="K150" s="224">
        <f ca="1">IF(I150&gt;0,J150*100/I150,0)</f>
        <v>100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IFERROR(__xludf.DUMMYFUNCTION("IMPORTRANGE(""https://docs.google.com/spreadsheets/d/1eHaY18a8A9IcSdp1K8H6x8fbOy06t2VsZHhMHf-1x7Y/edit?usp=sharing"",""แผน!V20"")"),2)</f>
        <v>2</v>
      </c>
      <c r="J151" s="380">
        <v>2</v>
      </c>
      <c r="K151" s="224">
        <f ca="1">IF(I151&gt;0,J151*100/I151,0)</f>
        <v>100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IFERROR(__xludf.DUMMYFUNCTION("IMPORTRANGE(""https://docs.google.com/spreadsheets/d/1eHaY18a8A9IcSdp1K8H6x8fbOy06t2VsZHhMHf-1x7Y/edit?usp=sharing"",""แผน!W20"")"),40)</f>
        <v>40</v>
      </c>
      <c r="J152" s="380">
        <v>40</v>
      </c>
      <c r="K152" s="224">
        <f ca="1">IF(I152&gt;0,J152*100/I152,0)</f>
        <v>100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IFERROR(__xludf.DUMMYFUNCTION("IMPORTRANGE(""https://docs.google.com/spreadsheets/d/1eHaY18a8A9IcSdp1K8H6x8fbOy06t2VsZHhMHf-1x7Y/edit?usp=sharing"",""แผน!X20"")"),4)</f>
        <v>4</v>
      </c>
      <c r="J153" s="380">
        <v>4</v>
      </c>
      <c r="K153" s="224">
        <f ca="1">IF(I153&gt;0,J153*100/I153,0)</f>
        <v>100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IFERROR(__xludf.DUMMYFUNCTION("IMPORTRANGE(""https://docs.google.com/spreadsheets/d/1eHaY18a8A9IcSdp1K8H6x8fbOy06t2VsZHhMHf-1x7Y/edit?usp=sharing"",""แผน!Y20"")"),2)</f>
        <v>2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I167</f>
        <v>15</v>
      </c>
      <c r="J156" s="756">
        <f>J167</f>
        <v>15</v>
      </c>
      <c r="K156" s="755">
        <f ca="1">IF(I156&gt;0,J156*100/I156,0)</f>
        <v>100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4500</v>
      </c>
      <c r="M157" s="547">
        <f ca="1">M158+M159</f>
        <v>4410</v>
      </c>
      <c r="N157" s="547">
        <f ca="1">N158+N159</f>
        <v>3516</v>
      </c>
      <c r="O157" s="547">
        <f ca="1">IF(L157&gt;0,N157*100/L157,0)</f>
        <v>78.13333333333334</v>
      </c>
      <c r="P157" s="547">
        <f ca="1">IF(M157&gt;0,N157*100/M157,0)</f>
        <v>79.72789115646259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4500</v>
      </c>
      <c r="M159" s="224">
        <f ca="1">M162+M165</f>
        <v>4410</v>
      </c>
      <c r="N159" s="224">
        <f ca="1">N162+N165</f>
        <v>3516</v>
      </c>
      <c r="O159" s="224">
        <f ca="1">IF(L159&gt;0,N159*100/L159,0)</f>
        <v>78.13333333333334</v>
      </c>
      <c r="P159" s="224">
        <f ca="1">IF(M159&gt;0,N159*100/M159,0)</f>
        <v>79.72789115646259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4500</v>
      </c>
      <c r="M160" s="224">
        <f ca="1">M161+M162</f>
        <v>4410</v>
      </c>
      <c r="N160" s="224">
        <f ca="1">N161+N162</f>
        <v>3516</v>
      </c>
      <c r="O160" s="224">
        <f ca="1">IF(L160&gt;0,N160*100/L160,0)</f>
        <v>78.13333333333334</v>
      </c>
      <c r="P160" s="224">
        <f ca="1">IF(M160&gt;0,N160*100/M160,0)</f>
        <v>79.72789115646259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IFERROR(__xludf.DUMMYFUNCTION("IMPORTRANGE(""https://docs.google.com/spreadsheets/d/1-uDff_7J0KD5mKrp0Vvzr7lt3OU09vwQwhkpOPPYv2Y/edit?usp=sharing"",""งบพรบ!CA20"")"),4500)</f>
        <v>4500</v>
      </c>
      <c r="M162" s="224">
        <f ca="1">IFERROR(__xludf.DUMMYFUNCTION("IMPORTRANGE(""https://docs.google.com/spreadsheets/d/1-uDff_7J0KD5mKrp0Vvzr7lt3OU09vwQwhkpOPPYv2Y/edit?usp=sharing"",""งบพรบ!CF20"")"),4410)</f>
        <v>4410</v>
      </c>
      <c r="N162" s="224">
        <f ca="1">IFERROR(__xludf.DUMMYFUNCTION("IMPORTRANGE(""https://docs.google.com/spreadsheets/d/1-uDff_7J0KD5mKrp0Vvzr7lt3OU09vwQwhkpOPPYv2Y/edit?usp=sharing"",""งบพรบ!CH20"")"),3516)</f>
        <v>3516</v>
      </c>
      <c r="O162" s="224">
        <f ca="1">IF(L162&gt;0,N162*100/L162,0)</f>
        <v>78.13333333333334</v>
      </c>
      <c r="P162" s="224">
        <f ca="1">IF(M162&gt;0,N162*100/M162,0)</f>
        <v>79.72789115646259</v>
      </c>
      <c r="Q162" s="224">
        <f ca="1">IFERROR(__xludf.DUMMYFUNCTION("IMPORTRANGE(""https://docs.google.com/spreadsheets/d/1ItG2mGa2ceCfYo0BwxsXqNm01IGEUdYcSSLTEv9YCik/edit?usp=sharing"",""เบิกจ่ายกองทุน!AM20"")"),0)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IFERROR(__xludf.DUMMYFUNCTION("IMPORTRANGE(""https://docs.google.com/spreadsheets/d/1ItG2mGa2ceCfYo0BwxsXqNm01IGEUdYcSSLTEv9YCik/edit?usp=sharing"",""เบิกจ่ายกองทุน!AO20"")"),0)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IFERROR(__xludf.DUMMYFUNCTION("IMPORTRANGE(""https://docs.google.com/spreadsheets/d/1-uDff_7J0KD5mKrp0Vvzr7lt3OU09vwQwhkpOPPYv2Y/edit?usp=sharing"",""งบพรบ!CD20"")"),0)</f>
        <v>0</v>
      </c>
      <c r="M165" s="224">
        <f ca="1">IFERROR(__xludf.DUMMYFUNCTION("IMPORTRANGE(""https://docs.google.com/spreadsheets/d/1-uDff_7J0KD5mKrp0Vvzr7lt3OU09vwQwhkpOPPYv2Y/edit?usp=sharing"",""งบพรบ!CG20"")"),0)</f>
        <v>0</v>
      </c>
      <c r="N165" s="224">
        <f ca="1">IFERROR(__xludf.DUMMYFUNCTION("IMPORTRANGE(""https://docs.google.com/spreadsheets/d/1-uDff_7J0KD5mKrp0Vvzr7lt3OU09vwQwhkpOPPYv2Y/edit?usp=sharing"",""งบพรบ!CI20"")"),0)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IFERROR(__xludf.DUMMYFUNCTION("IMPORTRANGE(""https://docs.google.com/spreadsheets/d/1eHaY18a8A9IcSdp1K8H6x8fbOy06t2VsZHhMHf-1x7Y/edit?usp=sharing"",""แผน!Z20"")"),15)</f>
        <v>15</v>
      </c>
      <c r="J167" s="380">
        <v>15</v>
      </c>
      <c r="K167" s="224">
        <f ca="1">IF(I167&gt;0,J167*100/I167,0)</f>
        <v>100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I167</f>
        <v>15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I167</f>
        <v>15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15</v>
      </c>
      <c r="J172" s="752">
        <f>J183+J184</f>
        <v>15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86150</v>
      </c>
      <c r="N173" s="547">
        <f ca="1">N174+N175</f>
        <v>84301</v>
      </c>
      <c r="O173" s="547">
        <f ca="1">IF(L173&gt;0,N173*100/L173,0)</f>
        <v>430.32669729453801</v>
      </c>
      <c r="P173" s="547">
        <f ca="1">IF(M173&gt;0,N173*100/M173,0)</f>
        <v>97.853743470690659</v>
      </c>
      <c r="Q173" s="547">
        <f ca="1">Q174+Q175</f>
        <v>21200</v>
      </c>
      <c r="R173" s="547">
        <f ca="1">R174+R175</f>
        <v>21200</v>
      </c>
      <c r="S173" s="547">
        <f ca="1">S174+S175</f>
        <v>20830</v>
      </c>
      <c r="T173" s="547">
        <f ca="1">IF(Q173&gt;0,S173*100/Q173,0)</f>
        <v>98.254716981132077</v>
      </c>
      <c r="U173" s="547">
        <f ca="1">IF(R173&gt;0,S173*100/R173,0)</f>
        <v>98.254716981132077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86150</v>
      </c>
      <c r="N175" s="224">
        <f ca="1">N178+N181</f>
        <v>84301</v>
      </c>
      <c r="O175" s="224">
        <f ca="1">IF(L175&gt;0,N175*100/L175,0)</f>
        <v>430.32669729453801</v>
      </c>
      <c r="P175" s="224">
        <f ca="1">IF(M175&gt;0,N175*100/M175,0)</f>
        <v>97.853743470690659</v>
      </c>
      <c r="Q175" s="224">
        <f ca="1">Q178+Q181</f>
        <v>21200</v>
      </c>
      <c r="R175" s="224">
        <f ca="1">R178+R181</f>
        <v>21200</v>
      </c>
      <c r="S175" s="224">
        <f ca="1">S178+S181</f>
        <v>20830</v>
      </c>
      <c r="T175" s="224">
        <f ca="1">IF(Q175&gt;0,S175*100/Q175,0)</f>
        <v>98.254716981132077</v>
      </c>
      <c r="U175" s="224">
        <f ca="1">IF(R175&gt;0,S175*100/R175,0)</f>
        <v>98.254716981132077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86150</v>
      </c>
      <c r="N176" s="224">
        <f ca="1">N177+N178</f>
        <v>84301</v>
      </c>
      <c r="O176" s="224">
        <f ca="1">IF(L176&gt;0,N176*100/L176,0)</f>
        <v>430.32669729453801</v>
      </c>
      <c r="P176" s="224">
        <f ca="1">IF(M176&gt;0,N176*100/M176,0)</f>
        <v>97.853743470690659</v>
      </c>
      <c r="Q176" s="224">
        <f ca="1">Q177+Q178</f>
        <v>21200</v>
      </c>
      <c r="R176" s="224">
        <f ca="1">R177+R178</f>
        <v>21200</v>
      </c>
      <c r="S176" s="224">
        <f ca="1">S177+S178</f>
        <v>20830</v>
      </c>
      <c r="T176" s="224">
        <f ca="1">IF(Q176&gt;0,S176*100/Q176,0)</f>
        <v>98.254716981132077</v>
      </c>
      <c r="U176" s="224">
        <f ca="1">IF(R176&gt;0,S176*100/R176,0)</f>
        <v>98.254716981132077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IFERROR(__xludf.DUMMYFUNCTION("IMPORTRANGE(""https://docs.google.com/spreadsheets/d/1-uDff_7J0KD5mKrp0Vvzr7lt3OU09vwQwhkpOPPYv2Y/edit?usp=sharing"",""งบพรบ!CK20"")"),19590)</f>
        <v>19590</v>
      </c>
      <c r="M178" s="224">
        <f ca="1">IFERROR(__xludf.DUMMYFUNCTION("IMPORTRANGE(""https://docs.google.com/spreadsheets/d/1-uDff_7J0KD5mKrp0Vvzr7lt3OU09vwQwhkpOPPYv2Y/edit?usp=sharing"",""งบพรบ!CP20"")"),86150)</f>
        <v>86150</v>
      </c>
      <c r="N178" s="224">
        <f ca="1">IFERROR(__xludf.DUMMYFUNCTION("IMPORTRANGE(""https://docs.google.com/spreadsheets/d/1-uDff_7J0KD5mKrp0Vvzr7lt3OU09vwQwhkpOPPYv2Y/edit?usp=sharing"",""งบพรบ!CR20"")"),84301)</f>
        <v>84301</v>
      </c>
      <c r="O178" s="224">
        <f ca="1">IF(L178&gt;0,N178*100/L178,0)</f>
        <v>430.32669729453801</v>
      </c>
      <c r="P178" s="224">
        <f ca="1">IF(M178&gt;0,N178*100/M178,0)</f>
        <v>97.853743470690659</v>
      </c>
      <c r="Q178" s="224">
        <f ca="1">IFERROR(__xludf.DUMMYFUNCTION("IMPORTRANGE(""https://docs.google.com/spreadsheets/d/1ItG2mGa2ceCfYo0BwxsXqNm01IGEUdYcSSLTEv9YCik/edit?usp=sharing"",""เบิกจ่ายกองทุน!DG20"")"),21200)</f>
        <v>21200</v>
      </c>
      <c r="R178" s="224">
        <f ca="1">IFERROR(__xludf.DUMMYFUNCTION("IMPORTRANGE(""https://docs.google.com/spreadsheets/d/1ItG2mGa2ceCfYo0BwxsXqNm01IGEUdYcSSLTEv9YCik/edit?usp=sharing"",""เบิกจ่ายกองทุน!DH20"")"),21200)</f>
        <v>21200</v>
      </c>
      <c r="S178" s="224">
        <f ca="1">IFERROR(__xludf.DUMMYFUNCTION("IMPORTRANGE(""https://docs.google.com/spreadsheets/d/1ItG2mGa2ceCfYo0BwxsXqNm01IGEUdYcSSLTEv9YCik/edit?usp=sharing"",""เบิกจ่ายกองทุน!DI20"")"),20830)</f>
        <v>20830</v>
      </c>
      <c r="T178" s="224">
        <f ca="1">IF(Q178&gt;0,S178*100/Q178,0)</f>
        <v>98.254716981132077</v>
      </c>
      <c r="U178" s="224">
        <f ca="1">IF(R178&gt;0,S178*100/R178,0)</f>
        <v>98.254716981132077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IFERROR(__xludf.DUMMYFUNCTION("IMPORTRANGE(""https://docs.google.com/spreadsheets/d/1-uDff_7J0KD5mKrp0Vvzr7lt3OU09vwQwhkpOPPYv2Y/edit?usp=sharing"",""งบพรบ!CN20"")"),0)</f>
        <v>0</v>
      </c>
      <c r="M181" s="224">
        <f ca="1">IFERROR(__xludf.DUMMYFUNCTION("IMPORTRANGE(""https://docs.google.com/spreadsheets/d/1-uDff_7J0KD5mKrp0Vvzr7lt3OU09vwQwhkpOPPYv2Y/edit?usp=sharing"",""งบพรบ!CQ20"")"),0)</f>
        <v>0</v>
      </c>
      <c r="N181" s="224">
        <f ca="1">IFERROR(__xludf.DUMMYFUNCTION("IMPORTRANGE(""https://docs.google.com/spreadsheets/d/1-uDff_7J0KD5mKrp0Vvzr7lt3OU09vwQwhkpOPPYv2Y/edit?usp=sharing"",""งบพรบ!CS20"")"),0)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IFERROR(__xludf.DUMMYFUNCTION("IMPORTRANGE(""https://docs.google.com/spreadsheets/d/1eHaY18a8A9IcSdp1K8H6x8fbOy06t2VsZHhMHf-1x7Y/edit?usp=sharing"",""แผน!AA20"")"),15)</f>
        <v>15</v>
      </c>
      <c r="J183" s="380">
        <v>15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40</v>
      </c>
      <c r="J185" s="752">
        <f>J230+J231</f>
        <v>40</v>
      </c>
      <c r="K185" s="751">
        <f ca="1">IF(I185&gt;0,J185*100/I185,0)</f>
        <v>100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234500</v>
      </c>
      <c r="M186" s="547">
        <f ca="1">M187+M188</f>
        <v>261325</v>
      </c>
      <c r="N186" s="547">
        <f ca="1">N187+N188</f>
        <v>238506</v>
      </c>
      <c r="O186" s="547">
        <f ca="1">IF(L186&gt;0,N186*100/L186,0)</f>
        <v>101.70831556503198</v>
      </c>
      <c r="P186" s="547">
        <f ca="1">IF(M186&gt;0,N186*100/M186,0)</f>
        <v>91.267961350808378</v>
      </c>
      <c r="Q186" s="547">
        <f ca="1">Q187+Q188</f>
        <v>250800</v>
      </c>
      <c r="R186" s="547">
        <f ca="1">R187+R188</f>
        <v>250800</v>
      </c>
      <c r="S186" s="547">
        <f ca="1">S187+S188</f>
        <v>245430</v>
      </c>
      <c r="T186" s="547">
        <f ca="1">IF(Q186&gt;0,S186*100/Q186,0)</f>
        <v>97.858851674641144</v>
      </c>
      <c r="U186" s="547">
        <f ca="1">IF(R186&gt;0,S186*100/R186,0)</f>
        <v>97.858851674641144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234500</v>
      </c>
      <c r="M188" s="224">
        <f ca="1">M191+M194</f>
        <v>261325</v>
      </c>
      <c r="N188" s="224">
        <f ca="1">N191+N194</f>
        <v>238506</v>
      </c>
      <c r="O188" s="224">
        <f ca="1">IF(L188&gt;0,N188*100/L188,0)</f>
        <v>101.70831556503198</v>
      </c>
      <c r="P188" s="224">
        <f ca="1">IF(M188&gt;0,N188*100/M188,0)</f>
        <v>91.267961350808378</v>
      </c>
      <c r="Q188" s="224">
        <f ca="1">Q191+Q194</f>
        <v>250800</v>
      </c>
      <c r="R188" s="224">
        <f ca="1">R191+R194</f>
        <v>250800</v>
      </c>
      <c r="S188" s="224">
        <f ca="1">S191+S194</f>
        <v>245430</v>
      </c>
      <c r="T188" s="224">
        <f ca="1">IF(Q188&gt;0,S188*100/Q188,0)</f>
        <v>97.858851674641144</v>
      </c>
      <c r="U188" s="224">
        <f ca="1">IF(R188&gt;0,S188*100/R188,0)</f>
        <v>97.858851674641144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234500</v>
      </c>
      <c r="M189" s="224">
        <f ca="1">M190+M191</f>
        <v>261325</v>
      </c>
      <c r="N189" s="224">
        <f ca="1">N190+N191</f>
        <v>238506</v>
      </c>
      <c r="O189" s="224">
        <f ca="1">IF(L189&gt;0,N189*100/L189,0)</f>
        <v>101.70831556503198</v>
      </c>
      <c r="P189" s="224">
        <f ca="1">IF(M189&gt;0,N189*100/M189,0)</f>
        <v>91.267961350808378</v>
      </c>
      <c r="Q189" s="224">
        <f ca="1">Q190+Q191</f>
        <v>250800</v>
      </c>
      <c r="R189" s="224">
        <f ca="1">R190+R191</f>
        <v>250800</v>
      </c>
      <c r="S189" s="224">
        <f ca="1">S190+S191</f>
        <v>245430</v>
      </c>
      <c r="T189" s="224">
        <f ca="1">IF(Q189&gt;0,S189*100/Q189,0)</f>
        <v>97.858851674641144</v>
      </c>
      <c r="U189" s="224">
        <f ca="1">IF(R189&gt;0,S189*100/R189,0)</f>
        <v>97.858851674641144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IFERROR(__xludf.DUMMYFUNCTION("IMPORTRANGE(""https://docs.google.com/spreadsheets/d/1-uDff_7J0KD5mKrp0Vvzr7lt3OU09vwQwhkpOPPYv2Y/edit?usp=sharing"",""งบพรบ!CU20"")"),234500)</f>
        <v>234500</v>
      </c>
      <c r="M191" s="224">
        <f ca="1">IFERROR(__xludf.DUMMYFUNCTION("IMPORTRANGE(""https://docs.google.com/spreadsheets/d/1-uDff_7J0KD5mKrp0Vvzr7lt3OU09vwQwhkpOPPYv2Y/edit?usp=sharing"",""งบพรบ!CZ20"")"),261325)</f>
        <v>261325</v>
      </c>
      <c r="N191" s="224">
        <f ca="1">IFERROR(__xludf.DUMMYFUNCTION("IMPORTRANGE(""https://docs.google.com/spreadsheets/d/1-uDff_7J0KD5mKrp0Vvzr7lt3OU09vwQwhkpOPPYv2Y/edit?usp=sharing"",""งบพรบ!DB20"")"),238506)</f>
        <v>238506</v>
      </c>
      <c r="O191" s="224">
        <f ca="1">IF(L191&gt;0,N191*100/L191,0)</f>
        <v>101.70831556503198</v>
      </c>
      <c r="P191" s="224">
        <f ca="1">IF(M191&gt;0,N191*100/M191,0)</f>
        <v>91.267961350808378</v>
      </c>
      <c r="Q191" s="224">
        <f ca="1">IFERROR(__xludf.DUMMYFUNCTION("IMPORTRANGE(""https://docs.google.com/spreadsheets/d/1ItG2mGa2ceCfYo0BwxsXqNm01IGEUdYcSSLTEv9YCik/edit?usp=sharing"",""เบิกจ่ายกองทุน!BQ20"")"),250800)</f>
        <v>250800</v>
      </c>
      <c r="R191" s="224">
        <f ca="1">IFERROR(__xludf.DUMMYFUNCTION("IMPORTRANGE(""https://docs.google.com/spreadsheets/d/1ItG2mGa2ceCfYo0BwxsXqNm01IGEUdYcSSLTEv9YCik/edit?usp=sharing"",""เบิกจ่ายกองทุน!BR20"")"),250800)</f>
        <v>250800</v>
      </c>
      <c r="S191" s="224">
        <f ca="1">IFERROR(__xludf.DUMMYFUNCTION("IMPORTRANGE(""https://docs.google.com/spreadsheets/d/1ItG2mGa2ceCfYo0BwxsXqNm01IGEUdYcSSLTEv9YCik/edit?usp=sharing"",""เบิกจ่ายกองทุน!BS20"")"),245430)</f>
        <v>245430</v>
      </c>
      <c r="T191" s="224">
        <f ca="1">IF(Q191&gt;0,S191*100/Q191,0)</f>
        <v>97.858851674641144</v>
      </c>
      <c r="U191" s="224">
        <f ca="1">IF(R191&gt;0,S191*100/R191,0)</f>
        <v>97.858851674641144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IFERROR(__xludf.DUMMYFUNCTION("IMPORTRANGE(""https://docs.google.com/spreadsheets/d/1-uDff_7J0KD5mKrp0Vvzr7lt3OU09vwQwhkpOPPYv2Y/edit?usp=sharing"",""งบพรบ!CX20"")"),0)</f>
        <v>0</v>
      </c>
      <c r="M194" s="224">
        <f ca="1">IFERROR(__xludf.DUMMYFUNCTION("IMPORTRANGE(""https://docs.google.com/spreadsheets/d/1-uDff_7J0KD5mKrp0Vvzr7lt3OU09vwQwhkpOPPYv2Y/edit?usp=sharing"",""งบพรบ!DA20"")"),0)</f>
        <v>0</v>
      </c>
      <c r="N194" s="224">
        <f ca="1">IFERROR(__xludf.DUMMYFUNCTION("IMPORTRANGE(""https://docs.google.com/spreadsheets/d/1-uDff_7J0KD5mKrp0Vvzr7lt3OU09vwQwhkpOPPYv2Y/edit?usp=sharing"",""งบพรบ!DC20"")"),0)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IFERROR(__xludf.DUMMYFUNCTION("IMPORTRANGE(""https://docs.google.com/spreadsheets/d/1ItG2mGa2ceCfYo0BwxsXqNm01IGEUdYcSSLTEv9YCik/edit?usp=sharing"",""เบิกจ่ายกองทุน!BT20"")"),0)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IFERROR(__xludf.DUMMYFUNCTION("IMPORTRANGE(""https://docs.google.com/spreadsheets/d/1ItG2mGa2ceCfYo0BwxsXqNm01IGEUdYcSSLTEv9YCik/edit?usp=sharing"",""เบิกจ่ายกองทุน!BU20"")"),0)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IFERROR(__xludf.DUMMYFUNCTION("IMPORTRANGE(""https://docs.google.com/spreadsheets/d/1ItG2mGa2ceCfYo0BwxsXqNm01IGEUdYcSSLTEv9YCik/edit?usp=sharing"",""เบิกจ่ายกองทุน!BV20"")"),0)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IFERROR(__xludf.DUMMYFUNCTION("IMPORTRANGE(""https://docs.google.com/spreadsheets/d/1eHaY18a8A9IcSdp1K8H6x8fbOy06t2VsZHhMHf-1x7Y/edit?usp=sharing"",""แผน!AB20"")"),6000)</f>
        <v>6000</v>
      </c>
      <c r="M196" s="45"/>
      <c r="N196" s="749">
        <v>0</v>
      </c>
      <c r="O196" s="547">
        <f ca="1">IF(L196&gt;0,N196*100/L196,0)</f>
        <v>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IFERROR(__xludf.DUMMYFUNCTION("IMPORTRANGE(""https://docs.google.com/spreadsheets/d/1eHaY18a8A9IcSdp1K8H6x8fbOy06t2VsZHhMHf-1x7Y/edit?usp=sharing"",""แผน!AE20"")"),4)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50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50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2</v>
      </c>
      <c r="J202" s="302">
        <f>J209</f>
        <v>2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10000</v>
      </c>
      <c r="M203" s="45"/>
      <c r="N203" s="547">
        <f>N204+N205+N206+N207</f>
        <v>9260</v>
      </c>
      <c r="O203" s="547">
        <f ca="1">IF(L203&gt;0,N203*100/L203,0)</f>
        <v>92.6</v>
      </c>
      <c r="P203" s="547">
        <f>IF(M203&gt;0,N203*100/M203,0)</f>
        <v>0</v>
      </c>
      <c r="Q203" s="748">
        <f ca="1">Q204+Q205+Q206+Q207</f>
        <v>28000</v>
      </c>
      <c r="R203" s="314"/>
      <c r="S203" s="747">
        <f>S204+S205+S206+S207</f>
        <v>28000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IFERROR(__xludf.DUMMYFUNCTION("IMPORTRANGE(""https://docs.google.com/spreadsheets/d/1eHaY18a8A9IcSdp1K8H6x8fbOy06t2VsZHhMHf-1x7Y/edit?usp=sharing"",""แผน!AG20"")"),2000)</f>
        <v>2000</v>
      </c>
      <c r="M204" s="45"/>
      <c r="N204" s="737">
        <v>1260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IFERROR(__xludf.DUMMYFUNCTION("IMPORTRANGE(""https://docs.google.com/spreadsheets/d/1eHaY18a8A9IcSdp1K8H6x8fbOy06t2VsZHhMHf-1x7Y/edit?usp=sharing"",""แผน!AH20"")"),0)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IFERROR(__xludf.DUMMYFUNCTION("IMPORTRANGE(""https://docs.google.com/spreadsheets/d/1eHaY18a8A9IcSdp1K8H6x8fbOy06t2VsZHhMHf-1x7Y/edit?usp=sharing"",""แผน!AI20"")"),0)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IFERROR(__xludf.DUMMYFUNCTION("IMPORTRANGE(""https://docs.google.com/spreadsheets/d/1eHaY18a8A9IcSdp1K8H6x8fbOy06t2VsZHhMHf-1x7Y/edit?usp=sharing"",""แผน!LV20"")"),28000)</f>
        <v>28000</v>
      </c>
      <c r="R206" s="45"/>
      <c r="S206" s="737">
        <v>28000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IFERROR(__xludf.DUMMYFUNCTION("IMPORTRANGE(""https://docs.google.com/spreadsheets/d/1eHaY18a8A9IcSdp1K8H6x8fbOy06t2VsZHhMHf-1x7Y/edit?usp=sharing"",""แผน!AJ20"")"),8000)</f>
        <v>8000</v>
      </c>
      <c r="M207" s="45"/>
      <c r="N207" s="737">
        <v>8000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IFERROR(__xludf.DUMMYFUNCTION("IMPORTRANGE(""https://docs.google.com/spreadsheets/d/1eHaY18a8A9IcSdp1K8H6x8fbOy06t2VsZHhMHf-1x7Y/edit?usp=sharing"",""แผน!AK20"")"),2)</f>
        <v>2</v>
      </c>
      <c r="J209" s="380">
        <v>2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IFERROR(__xludf.DUMMYFUNCTION("IMPORTRANGE(""https://docs.google.com/spreadsheets/d/1eHaY18a8A9IcSdp1K8H6x8fbOy06t2VsZHhMHf-1x7Y/edit?usp=sharing"",""แผน!JX20"")"),2)</f>
        <v>2</v>
      </c>
      <c r="J211" s="380">
        <v>2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IFERROR(__xludf.DUMMYFUNCTION("IMPORTRANGE(""https://docs.google.com/spreadsheets/d/1eHaY18a8A9IcSdp1K8H6x8fbOy06t2VsZHhMHf-1x7Y/edit?usp=sharing"",""แผน!JY20"")"),0)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>Q215+Q216+Q217</f>
        <v>0</v>
      </c>
      <c r="R214" s="45"/>
      <c r="S214" s="547">
        <f>S215+S216+S217</f>
        <v>0</v>
      </c>
      <c r="T214" s="547">
        <f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IFERROR(__xludf.DUMMYFUNCTION("IMPORTRANGE(""https://docs.google.com/spreadsheets/d/1eHaY18a8A9IcSdp1K8H6x8fbOy06t2VsZHhMHf-1x7Y/edit?usp=sharing"",""แผน!AM20"")"),0)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IFERROR(__xludf.DUMMYFUNCTION("IMPORTRANGE(""https://docs.google.com/spreadsheets/d/1eHaY18a8A9IcSdp1K8H6x8fbOy06t2VsZHhMHf-1x7Y/edit?usp=sharing"",""แผน!AN20"")"),0)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IFERROR(__xludf.DUMMYFUNCTION("IMPORTRANGE(""https://docs.google.com/spreadsheets/d/1eHaY18a8A9IcSdp1K8H6x8fbOy06t2VsZHhMHf-1x7Y/edit?usp=sharing"",""แผน!AO20"")"),0)</f>
        <v>0</v>
      </c>
      <c r="M217" s="45"/>
      <c r="N217" s="737">
        <v>0</v>
      </c>
      <c r="O217" s="136"/>
      <c r="P217" s="45"/>
      <c r="Q217" s="545"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IFERROR(__xludf.DUMMYFUNCTION("IMPORTRANGE(""https://docs.google.com/spreadsheets/d/1eHaY18a8A9IcSdp1K8H6x8fbOy06t2VsZHhMHf-1x7Y/edit?usp=sharing"",""แผน!AP20"")"),0)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IFERROR(__xludf.DUMMYFUNCTION("IMPORTRANGE(""https://docs.google.com/spreadsheets/d/1eHaY18a8A9IcSdp1K8H6x8fbOy06t2VsZHhMHf-1x7Y/edit?usp=sharing"",""แผน!AP20"")"),0)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20000</v>
      </c>
      <c r="J221" s="302">
        <f>J229</f>
        <v>20000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0</v>
      </c>
      <c r="O222" s="547">
        <f ca="1">IF(L222&gt;0,N222*100/L222,0)</f>
        <v>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IFERROR(__xludf.DUMMYFUNCTION("IMPORTRANGE(""https://docs.google.com/spreadsheets/d/1eHaY18a8A9IcSdp1K8H6x8fbOy06t2VsZHhMHf-1x7Y/edit?usp=sharing"",""แผน!AR20"")"),2500)</f>
        <v>2500</v>
      </c>
      <c r="M223" s="45"/>
      <c r="N223" s="737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IFERROR(__xludf.DUMMYFUNCTION("IMPORTRANGE(""https://docs.google.com/spreadsheets/d/1eHaY18a8A9IcSdp1K8H6x8fbOy06t2VsZHhMHf-1x7Y/edit?usp=sharing"",""แผน!AS20"")"),2000)</f>
        <v>2000</v>
      </c>
      <c r="M224" s="45"/>
      <c r="N224" s="737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IFERROR(__xludf.DUMMYFUNCTION("IMPORTRANGE(""https://docs.google.com/spreadsheets/d/1eHaY18a8A9IcSdp1K8H6x8fbOy06t2VsZHhMHf-1x7Y/edit?usp=sharing"",""แผน!AT20"")"),0)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IFERROR(__xludf.DUMMYFUNCTION("IMPORTRANGE(""https://docs.google.com/spreadsheets/d/1eHaY18a8A9IcSdp1K8H6x8fbOy06t2VsZHhMHf-1x7Y/edit?usp=sharing"",""แผน!AV20"")"),20000)</f>
        <v>20000</v>
      </c>
      <c r="J228" s="380">
        <v>20000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IFERROR(__xludf.DUMMYFUNCTION("IMPORTRANGE(""https://docs.google.com/spreadsheets/d/1eHaY18a8A9IcSdp1K8H6x8fbOy06t2VsZHhMHf-1x7Y/edit?usp=sharing"",""แผน!AV20"")"),20000)</f>
        <v>20000</v>
      </c>
      <c r="J229" s="380">
        <v>20000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IFERROR(__xludf.DUMMYFUNCTION("IMPORTRANGE(""https://docs.google.com/spreadsheets/d/1eHaY18a8A9IcSdp1K8H6x8fbOy06t2VsZHhMHf-1x7Y/edit?usp=sharing"",""แผน!AU20"")"),0)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857"/>
      <c r="B231" s="856"/>
      <c r="C231" s="742" t="s">
        <v>105</v>
      </c>
      <c r="D231" s="855"/>
      <c r="E231" s="855"/>
      <c r="F231" s="855"/>
      <c r="G231" s="854"/>
      <c r="H231" s="741" t="s">
        <v>35</v>
      </c>
      <c r="I231" s="740">
        <f ca="1">I242+I253</f>
        <v>40</v>
      </c>
      <c r="J231" s="740">
        <f>J242+J253</f>
        <v>40</v>
      </c>
      <c r="K231" s="739">
        <f ca="1">IF(I231&gt;0,J231*100/I231,0)</f>
        <v>100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711"/>
      <c r="B232" s="710"/>
      <c r="C232" s="617" t="s">
        <v>18</v>
      </c>
      <c r="D232" s="565" t="s">
        <v>19</v>
      </c>
      <c r="E232" s="710"/>
      <c r="F232" s="710"/>
      <c r="G232" s="709"/>
      <c r="H232" s="480" t="s">
        <v>14</v>
      </c>
      <c r="I232" s="708"/>
      <c r="J232" s="708"/>
      <c r="K232" s="707"/>
      <c r="L232" s="745">
        <f ca="1">L243+L254</f>
        <v>214000</v>
      </c>
      <c r="M232" s="45"/>
      <c r="N232" s="744">
        <f>N243+N254</f>
        <v>119520.4</v>
      </c>
      <c r="O232" s="45"/>
      <c r="P232" s="45"/>
      <c r="Q232" s="745">
        <f ca="1">Q243+Q254</f>
        <v>222800</v>
      </c>
      <c r="R232" s="45"/>
      <c r="S232" s="744">
        <f>S243+S254</f>
        <v>222010</v>
      </c>
      <c r="T232" s="45"/>
      <c r="U232" s="45"/>
    </row>
    <row r="233" spans="1:21" ht="18.75" hidden="1" x14ac:dyDescent="0.25">
      <c r="A233" s="711"/>
      <c r="B233" s="852"/>
      <c r="C233" s="710"/>
      <c r="D233" s="378" t="s">
        <v>320</v>
      </c>
      <c r="E233" s="710"/>
      <c r="F233" s="710"/>
      <c r="G233" s="709"/>
      <c r="H233" s="159" t="s">
        <v>14</v>
      </c>
      <c r="I233" s="708"/>
      <c r="J233" s="708"/>
      <c r="K233" s="707"/>
      <c r="L233" s="546">
        <f ca="1">L244+L255</f>
        <v>158000</v>
      </c>
      <c r="M233" s="45"/>
      <c r="N233" s="83">
        <f>N244+N255</f>
        <v>15310</v>
      </c>
      <c r="O233" s="45"/>
      <c r="P233" s="45"/>
      <c r="Q233" s="546">
        <f>Q244+Q255</f>
        <v>0</v>
      </c>
      <c r="R233" s="45"/>
      <c r="S233" s="83">
        <f>S244+S255</f>
        <v>0</v>
      </c>
      <c r="T233" s="45"/>
      <c r="U233" s="45"/>
    </row>
    <row r="234" spans="1:21" ht="18.75" hidden="1" x14ac:dyDescent="0.25">
      <c r="A234" s="853"/>
      <c r="B234" s="852"/>
      <c r="C234" s="852"/>
      <c r="D234" s="47" t="s">
        <v>87</v>
      </c>
      <c r="E234" s="710"/>
      <c r="F234" s="710"/>
      <c r="G234" s="709"/>
      <c r="H234" s="159" t="s">
        <v>14</v>
      </c>
      <c r="I234" s="714"/>
      <c r="J234" s="714"/>
      <c r="K234" s="713"/>
      <c r="L234" s="546">
        <f ca="1">L245+L256</f>
        <v>3000</v>
      </c>
      <c r="M234" s="45"/>
      <c r="N234" s="83">
        <f>N245+N256</f>
        <v>75396</v>
      </c>
      <c r="O234" s="45"/>
      <c r="P234" s="45"/>
      <c r="Q234" s="546">
        <f>Q245+Q256</f>
        <v>0</v>
      </c>
      <c r="R234" s="45"/>
      <c r="S234" s="83">
        <f>S245+S256</f>
        <v>0</v>
      </c>
      <c r="T234" s="45"/>
      <c r="U234" s="45"/>
    </row>
    <row r="235" spans="1:21" ht="18.75" hidden="1" x14ac:dyDescent="0.25">
      <c r="A235" s="853"/>
      <c r="B235" s="852"/>
      <c r="C235" s="852"/>
      <c r="D235" s="47" t="s">
        <v>88</v>
      </c>
      <c r="E235" s="710"/>
      <c r="F235" s="710"/>
      <c r="G235" s="709"/>
      <c r="H235" s="159" t="s">
        <v>14</v>
      </c>
      <c r="I235" s="714"/>
      <c r="J235" s="714"/>
      <c r="K235" s="713"/>
      <c r="L235" s="546">
        <f ca="1">L246+L257</f>
        <v>0</v>
      </c>
      <c r="M235" s="45"/>
      <c r="N235" s="83">
        <f>N246+N257</f>
        <v>0</v>
      </c>
      <c r="O235" s="45"/>
      <c r="P235" s="45"/>
      <c r="Q235" s="546">
        <f ca="1">Q246+Q257</f>
        <v>222800</v>
      </c>
      <c r="R235" s="45"/>
      <c r="S235" s="83">
        <f>S246+S257</f>
        <v>222010</v>
      </c>
      <c r="T235" s="45"/>
      <c r="U235" s="45"/>
    </row>
    <row r="236" spans="1:21" ht="18.75" hidden="1" x14ac:dyDescent="0.25">
      <c r="A236" s="853"/>
      <c r="B236" s="852"/>
      <c r="C236" s="852"/>
      <c r="D236" s="47" t="s">
        <v>89</v>
      </c>
      <c r="E236" s="710"/>
      <c r="F236" s="710"/>
      <c r="G236" s="709"/>
      <c r="H236" s="159" t="s">
        <v>14</v>
      </c>
      <c r="I236" s="714"/>
      <c r="J236" s="714"/>
      <c r="K236" s="713"/>
      <c r="L236" s="546">
        <f ca="1">L247+L258</f>
        <v>53000</v>
      </c>
      <c r="M236" s="45"/>
      <c r="N236" s="83">
        <f>N247+N258</f>
        <v>28814.400000000001</v>
      </c>
      <c r="O236" s="45"/>
      <c r="P236" s="45"/>
      <c r="Q236" s="546">
        <f>Q247+Q258</f>
        <v>0</v>
      </c>
      <c r="R236" s="45"/>
      <c r="S236" s="83">
        <f>S247+S258</f>
        <v>0</v>
      </c>
      <c r="T236" s="45"/>
      <c r="U236" s="45"/>
    </row>
    <row r="237" spans="1:21" ht="19.5" hidden="1" x14ac:dyDescent="0.3">
      <c r="A237" s="849"/>
      <c r="B237" s="848"/>
      <c r="C237" s="736" t="s">
        <v>18</v>
      </c>
      <c r="D237" s="591" t="s">
        <v>38</v>
      </c>
      <c r="E237" s="851"/>
      <c r="F237" s="851"/>
      <c r="G237" s="850"/>
      <c r="H237" s="846"/>
      <c r="I237" s="708"/>
      <c r="J237" s="714"/>
      <c r="K237" s="713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849"/>
      <c r="B238" s="848"/>
      <c r="C238" s="848"/>
      <c r="D238" s="179" t="s">
        <v>108</v>
      </c>
      <c r="E238" s="847"/>
      <c r="F238" s="847"/>
      <c r="G238" s="846"/>
      <c r="H238" s="733" t="s">
        <v>35</v>
      </c>
      <c r="I238" s="485">
        <f ca="1">I249+I260</f>
        <v>40</v>
      </c>
      <c r="J238" s="485">
        <f>J249+J260</f>
        <v>40</v>
      </c>
      <c r="K238" s="83">
        <f ca="1">IF(I238&gt;0,J238*100/I238,0)</f>
        <v>100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849"/>
      <c r="B239" s="848"/>
      <c r="C239" s="848"/>
      <c r="D239" s="735" t="s">
        <v>43</v>
      </c>
      <c r="E239" s="847"/>
      <c r="F239" s="847"/>
      <c r="G239" s="846"/>
      <c r="H239" s="846"/>
      <c r="I239" s="714"/>
      <c r="J239" s="714"/>
      <c r="K239" s="713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849"/>
      <c r="B240" s="848"/>
      <c r="C240" s="848"/>
      <c r="D240" s="848"/>
      <c r="E240" s="734" t="s">
        <v>109</v>
      </c>
      <c r="F240" s="847"/>
      <c r="G240" s="846"/>
      <c r="H240" s="733" t="s">
        <v>35</v>
      </c>
      <c r="I240" s="485">
        <f ca="1">I251+I262</f>
        <v>40</v>
      </c>
      <c r="J240" s="485">
        <f>J251+J262</f>
        <v>40</v>
      </c>
      <c r="K240" s="83">
        <f ca="1">IF(I240&gt;0,J240*100/I240,0)</f>
        <v>100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849"/>
      <c r="B241" s="848"/>
      <c r="C241" s="848"/>
      <c r="D241" s="848"/>
      <c r="E241" s="734" t="s">
        <v>110</v>
      </c>
      <c r="F241" s="847"/>
      <c r="G241" s="846"/>
      <c r="H241" s="733" t="s">
        <v>61</v>
      </c>
      <c r="I241" s="485">
        <f ca="1">I252+I263</f>
        <v>1</v>
      </c>
      <c r="J241" s="485">
        <f>J252+J263</f>
        <v>1</v>
      </c>
      <c r="K241" s="83">
        <f ca="1">IF(I241&gt;0,J241*100/I241,0)</f>
        <v>100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845"/>
      <c r="B242" s="844"/>
      <c r="C242" s="843" t="s">
        <v>332</v>
      </c>
      <c r="D242" s="842"/>
      <c r="E242" s="842"/>
      <c r="F242" s="842"/>
      <c r="G242" s="841"/>
      <c r="H242" s="840" t="s">
        <v>35</v>
      </c>
      <c r="I242" s="839">
        <f ca="1">I249</f>
        <v>40</v>
      </c>
      <c r="J242" s="839">
        <f>J249</f>
        <v>40</v>
      </c>
      <c r="K242" s="838">
        <f ca="1">IF(I242&gt;0,J242*100/I242,0)</f>
        <v>100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401"/>
      <c r="B243" s="411"/>
      <c r="C243" s="374" t="s">
        <v>18</v>
      </c>
      <c r="D243" s="404" t="s">
        <v>19</v>
      </c>
      <c r="E243" s="411"/>
      <c r="F243" s="411"/>
      <c r="G243" s="412"/>
      <c r="H243" s="405" t="s">
        <v>14</v>
      </c>
      <c r="I243" s="416"/>
      <c r="J243" s="416"/>
      <c r="K243" s="417"/>
      <c r="L243" s="548">
        <f ca="1">L244+L245+L246+L247</f>
        <v>214000</v>
      </c>
      <c r="M243" s="45"/>
      <c r="N243" s="547">
        <f>N244+N245+N246+N247</f>
        <v>119520.4</v>
      </c>
      <c r="O243" s="547">
        <f ca="1">IF(L243&gt;0,N243*100/L243,0)</f>
        <v>55.850654205607476</v>
      </c>
      <c r="P243" s="547">
        <f>IF(M243&gt;0,N243*100/M243,0)</f>
        <v>0</v>
      </c>
      <c r="Q243" s="748">
        <f ca="1">Q244+Q245+Q246+Q247</f>
        <v>222800</v>
      </c>
      <c r="R243" s="314"/>
      <c r="S243" s="747">
        <f>S244+S245+S246+S247</f>
        <v>222010</v>
      </c>
      <c r="T243" s="747">
        <f ca="1">IF(Q243&gt;0,S243*100/Q243,0)</f>
        <v>99.645421903052068</v>
      </c>
      <c r="U243" s="747">
        <f>IF(R243&gt;0,S243*100/R243,0)</f>
        <v>0</v>
      </c>
    </row>
    <row r="244" spans="1:21" ht="18.75" x14ac:dyDescent="0.25">
      <c r="A244" s="401"/>
      <c r="B244" s="402"/>
      <c r="C244" s="411"/>
      <c r="D244" s="378" t="s">
        <v>320</v>
      </c>
      <c r="E244" s="411"/>
      <c r="F244" s="411"/>
      <c r="G244" s="412"/>
      <c r="H244" s="413" t="s">
        <v>14</v>
      </c>
      <c r="I244" s="416"/>
      <c r="J244" s="416"/>
      <c r="K244" s="417"/>
      <c r="L244" s="545">
        <f ca="1">IFERROR(__xludf.DUMMYFUNCTION("IMPORTRANGE(""https://docs.google.com/spreadsheets/d/1eHaY18a8A9IcSdp1K8H6x8fbOy06t2VsZHhMHf-1x7Y/edit?usp=sharing"",""แผน!AX20"")"),158000)</f>
        <v>158000</v>
      </c>
      <c r="M244" s="45"/>
      <c r="N244" s="737">
        <v>15310</v>
      </c>
      <c r="O244" s="45"/>
      <c r="P244" s="45"/>
      <c r="Q244" s="545">
        <v>0</v>
      </c>
      <c r="R244" s="45"/>
      <c r="S244" s="224">
        <v>0</v>
      </c>
      <c r="T244" s="136"/>
      <c r="U244" s="45"/>
    </row>
    <row r="245" spans="1:21" ht="18.75" x14ac:dyDescent="0.25">
      <c r="A245" s="658"/>
      <c r="B245" s="402"/>
      <c r="C245" s="402"/>
      <c r="D245" s="47" t="s">
        <v>318</v>
      </c>
      <c r="E245" s="411"/>
      <c r="F245" s="411"/>
      <c r="G245" s="412"/>
      <c r="H245" s="413" t="s">
        <v>14</v>
      </c>
      <c r="I245" s="406"/>
      <c r="J245" s="406"/>
      <c r="K245" s="407"/>
      <c r="L245" s="545">
        <f ca="1">IFERROR(__xludf.DUMMYFUNCTION("IMPORTRANGE(""https://docs.google.com/spreadsheets/d/1eHaY18a8A9IcSdp1K8H6x8fbOy06t2VsZHhMHf-1x7Y/edit?usp=sharing"",""แผน!AY20"")"),3000)</f>
        <v>3000</v>
      </c>
      <c r="M245" s="45"/>
      <c r="N245" s="737">
        <v>75396</v>
      </c>
      <c r="O245" s="45"/>
      <c r="P245" s="45"/>
      <c r="Q245" s="545">
        <v>0</v>
      </c>
      <c r="R245" s="45"/>
      <c r="S245" s="224">
        <v>0</v>
      </c>
      <c r="T245" s="136"/>
      <c r="U245" s="45"/>
    </row>
    <row r="246" spans="1:21" ht="18.75" x14ac:dyDescent="0.25">
      <c r="A246" s="658"/>
      <c r="B246" s="402"/>
      <c r="C246" s="402"/>
      <c r="D246" s="47" t="s">
        <v>88</v>
      </c>
      <c r="E246" s="411"/>
      <c r="F246" s="411"/>
      <c r="G246" s="412"/>
      <c r="H246" s="413" t="s">
        <v>14</v>
      </c>
      <c r="I246" s="406"/>
      <c r="J246" s="406"/>
      <c r="K246" s="407"/>
      <c r="L246" s="545">
        <f ca="1">IFERROR(__xludf.DUMMYFUNCTION("IMPORTRANGE(""https://docs.google.com/spreadsheets/d/1eHaY18a8A9IcSdp1K8H6x8fbOy06t2VsZHhMHf-1x7Y/edit?usp=sharing"",""แผน!AZ20"")"),0)</f>
        <v>0</v>
      </c>
      <c r="M246" s="45"/>
      <c r="N246" s="737">
        <v>0</v>
      </c>
      <c r="O246" s="45"/>
      <c r="P246" s="45"/>
      <c r="Q246" s="545">
        <f ca="1">IFERROR(__xludf.DUMMYFUNCTION("IMPORTRANGE(""https://docs.google.com/spreadsheets/d/1eHaY18a8A9IcSdp1K8H6x8fbOy06t2VsZHhMHf-1x7Y/edit?usp=sharing"",""แผน!MF20"")"),222800)</f>
        <v>222800</v>
      </c>
      <c r="R246" s="45"/>
      <c r="S246" s="737">
        <v>222010</v>
      </c>
      <c r="T246" s="136"/>
      <c r="U246" s="45"/>
    </row>
    <row r="247" spans="1:21" ht="18.75" x14ac:dyDescent="0.25">
      <c r="A247" s="658"/>
      <c r="B247" s="402"/>
      <c r="C247" s="402"/>
      <c r="D247" s="47" t="s">
        <v>89</v>
      </c>
      <c r="E247" s="411"/>
      <c r="F247" s="411"/>
      <c r="G247" s="412"/>
      <c r="H247" s="413" t="s">
        <v>14</v>
      </c>
      <c r="I247" s="406"/>
      <c r="J247" s="406"/>
      <c r="K247" s="407"/>
      <c r="L247" s="545">
        <f ca="1">IFERROR(__xludf.DUMMYFUNCTION("IMPORTRANGE(""https://docs.google.com/spreadsheets/d/1eHaY18a8A9IcSdp1K8H6x8fbOy06t2VsZHhMHf-1x7Y/edit?usp=sharing"",""แผน!BA20"")"),53000)</f>
        <v>53000</v>
      </c>
      <c r="M247" s="45"/>
      <c r="N247" s="737">
        <v>28814.400000000001</v>
      </c>
      <c r="O247" s="45"/>
      <c r="P247" s="45"/>
      <c r="Q247" s="545">
        <v>0</v>
      </c>
      <c r="R247" s="45"/>
      <c r="S247" s="224">
        <v>0</v>
      </c>
      <c r="T247" s="136"/>
      <c r="U247" s="45"/>
    </row>
    <row r="248" spans="1:21" ht="19.5" x14ac:dyDescent="0.3">
      <c r="A248" s="421"/>
      <c r="B248" s="422"/>
      <c r="C248" s="374" t="s">
        <v>18</v>
      </c>
      <c r="D248" s="705" t="s">
        <v>38</v>
      </c>
      <c r="E248" s="424"/>
      <c r="F248" s="424"/>
      <c r="G248" s="425"/>
      <c r="H248" s="428"/>
      <c r="I248" s="416"/>
      <c r="J248" s="406"/>
      <c r="K248" s="407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421"/>
      <c r="B249" s="422"/>
      <c r="C249" s="422"/>
      <c r="D249" s="557" t="s">
        <v>108</v>
      </c>
      <c r="E249" s="409"/>
      <c r="F249" s="409"/>
      <c r="G249" s="428"/>
      <c r="H249" s="836" t="s">
        <v>35</v>
      </c>
      <c r="I249" s="559">
        <f ca="1">IFERROR(__xludf.DUMMYFUNCTION("IMPORTRANGE(""https://docs.google.com/spreadsheets/d/1eHaY18a8A9IcSdp1K8H6x8fbOy06t2VsZHhMHf-1x7Y/edit?usp=sharing"",""แผน!BG20"")"),40)</f>
        <v>40</v>
      </c>
      <c r="J249" s="555">
        <v>40</v>
      </c>
      <c r="K249" s="558">
        <f ca="1">IF(I249&gt;0,J249*100/I249,0)</f>
        <v>100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421"/>
      <c r="B250" s="422"/>
      <c r="C250" s="422"/>
      <c r="D250" s="837" t="s">
        <v>43</v>
      </c>
      <c r="E250" s="409"/>
      <c r="F250" s="409"/>
      <c r="G250" s="428"/>
      <c r="H250" s="428"/>
      <c r="I250" s="406"/>
      <c r="J250" s="406"/>
      <c r="K250" s="407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421"/>
      <c r="B251" s="422"/>
      <c r="C251" s="422"/>
      <c r="D251" s="422"/>
      <c r="E251" s="316" t="s">
        <v>109</v>
      </c>
      <c r="F251" s="409"/>
      <c r="G251" s="428"/>
      <c r="H251" s="836" t="s">
        <v>35</v>
      </c>
      <c r="I251" s="559">
        <f ca="1">IFERROR(__xludf.DUMMYFUNCTION("IMPORTRANGE(""https://docs.google.com/spreadsheets/d/1eHaY18a8A9IcSdp1K8H6x8fbOy06t2VsZHhMHf-1x7Y/edit?usp=sharing"",""แผน!KP20"")"),40)</f>
        <v>40</v>
      </c>
      <c r="J251" s="555">
        <v>40</v>
      </c>
      <c r="K251" s="558">
        <f ca="1">IF(I251&gt;0,J251*100/I251,0)</f>
        <v>100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421"/>
      <c r="B252" s="422"/>
      <c r="C252" s="422"/>
      <c r="D252" s="422"/>
      <c r="E252" s="316" t="s">
        <v>110</v>
      </c>
      <c r="F252" s="409"/>
      <c r="G252" s="428"/>
      <c r="H252" s="836" t="s">
        <v>331</v>
      </c>
      <c r="I252" s="559">
        <f ca="1">IFERROR(__xludf.DUMMYFUNCTION("IMPORTRANGE(""https://docs.google.com/spreadsheets/d/1eHaY18a8A9IcSdp1K8H6x8fbOy06t2VsZHhMHf-1x7Y/edit?usp=sharing"",""แผน!KQ20"")"),1)</f>
        <v>1</v>
      </c>
      <c r="J252" s="555">
        <v>1</v>
      </c>
      <c r="K252" s="558">
        <f ca="1">IF(I252&gt;0,J252*100/I252,0)</f>
        <v>100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6">
        <f>Q255+Q256+Q257+Q258</f>
        <v>0</v>
      </c>
      <c r="R254" s="46"/>
      <c r="S254" s="46">
        <f>S255+S256+S257+S258</f>
        <v>0</v>
      </c>
      <c r="T254" s="46">
        <f>IF(Q254&gt;0,S254*100/Q254,0)</f>
        <v>0</v>
      </c>
      <c r="U254" s="46">
        <f>IF(R254&gt;0,S254*100/R254,0)</f>
        <v>0</v>
      </c>
    </row>
    <row r="255" spans="1:21" ht="18.75" hidden="1" x14ac:dyDescent="0.25">
      <c r="A255" s="128"/>
      <c r="B255" s="158"/>
      <c r="C255" s="40"/>
      <c r="D255" s="378" t="s">
        <v>320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IFERROR(__xludf.DUMMYFUNCTION("IMPORTRANGE(""https://docs.google.com/spreadsheets/d/1eHaY18a8A9IcSdp1K8H6x8fbOy06t2VsZHhMHf-1x7Y/edit?usp=sharing"",""แผน!BB20"")"),0)</f>
        <v>0</v>
      </c>
      <c r="M255" s="45"/>
      <c r="N255" s="737">
        <v>0</v>
      </c>
      <c r="O255" s="45"/>
      <c r="P255" s="45"/>
      <c r="Q255" s="46">
        <v>0</v>
      </c>
      <c r="R255" s="46"/>
      <c r="S255" s="46">
        <v>0</v>
      </c>
      <c r="T255" s="46"/>
      <c r="U255" s="46"/>
    </row>
    <row r="256" spans="1:21" ht="18.75" hidden="1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IFERROR(__xludf.DUMMYFUNCTION("IMPORTRANGE(""https://docs.google.com/spreadsheets/d/1eHaY18a8A9IcSdp1K8H6x8fbOy06t2VsZHhMHf-1x7Y/edit?usp=sharing"",""แผน!BC20"")"),0)</f>
        <v>0</v>
      </c>
      <c r="M256" s="45"/>
      <c r="N256" s="737">
        <v>0</v>
      </c>
      <c r="O256" s="45"/>
      <c r="P256" s="45"/>
      <c r="Q256" s="46">
        <v>0</v>
      </c>
      <c r="R256" s="46"/>
      <c r="S256" s="46">
        <v>0</v>
      </c>
      <c r="T256" s="46"/>
      <c r="U256" s="46"/>
    </row>
    <row r="257" spans="1:21" ht="18.75" hidden="1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IFERROR(__xludf.DUMMYFUNCTION("IMPORTRANGE(""https://docs.google.com/spreadsheets/d/1eHaY18a8A9IcSdp1K8H6x8fbOy06t2VsZHhMHf-1x7Y/edit?usp=sharing"",""แผน!BD20"")"),0)</f>
        <v>0</v>
      </c>
      <c r="M257" s="45"/>
      <c r="N257" s="737">
        <v>0</v>
      </c>
      <c r="O257" s="45"/>
      <c r="P257" s="45"/>
      <c r="Q257" s="46">
        <v>0</v>
      </c>
      <c r="R257" s="46"/>
      <c r="S257" s="46">
        <v>0</v>
      </c>
      <c r="T257" s="46"/>
      <c r="U257" s="46"/>
    </row>
    <row r="258" spans="1:21" ht="18.75" hidden="1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IFERROR(__xludf.DUMMYFUNCTION("IMPORTRANGE(""https://docs.google.com/spreadsheets/d/1eHaY18a8A9IcSdp1K8H6x8fbOy06t2VsZHhMHf-1x7Y/edit?usp=sharing"",""แผน!BE20"")"),0)</f>
        <v>0</v>
      </c>
      <c r="M258" s="45"/>
      <c r="N258" s="737">
        <v>0</v>
      </c>
      <c r="O258" s="45"/>
      <c r="P258" s="45"/>
      <c r="Q258" s="46">
        <v>0</v>
      </c>
      <c r="R258" s="46"/>
      <c r="S258" s="46">
        <v>0</v>
      </c>
      <c r="T258" s="46"/>
      <c r="U258" s="46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IFERROR(__xludf.DUMMYFUNCTION("IMPORTRANGE(""https://docs.google.com/spreadsheets/d/1eHaY18a8A9IcSdp1K8H6x8fbOy06t2VsZHhMHf-1x7Y/edit?usp=sharing"",""แผน!BH20"")"),0)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24</v>
      </c>
      <c r="J265" s="721">
        <f>J276</f>
        <v>24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21700</v>
      </c>
      <c r="N266" s="715">
        <f ca="1">N267+N268</f>
        <v>21700</v>
      </c>
      <c r="O266" s="715">
        <f ca="1">IF(L266&gt;0,N266*100/L266,0)</f>
        <v>434</v>
      </c>
      <c r="P266" s="715">
        <f ca="1">IF(M266&gt;0,N266*100/M266,0)</f>
        <v>100</v>
      </c>
      <c r="Q266" s="715">
        <f ca="1">Q267+Q268</f>
        <v>53440</v>
      </c>
      <c r="R266" s="715">
        <f ca="1">R267+R268</f>
        <v>53440</v>
      </c>
      <c r="S266" s="715">
        <f ca="1">S267+S268</f>
        <v>44045</v>
      </c>
      <c r="T266" s="715">
        <f ca="1">IF(Q266&gt;0,S266*100/Q266,0)</f>
        <v>82.419535928143716</v>
      </c>
      <c r="U266" s="715">
        <f ca="1">IF(R266&gt;0,S266*100/R266,0)</f>
        <v>82.419535928143716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21700</v>
      </c>
      <c r="N268" s="558">
        <f ca="1">N271+N274</f>
        <v>21700</v>
      </c>
      <c r="O268" s="558">
        <f ca="1">IF(L268&gt;0,N268*100/L268,0)</f>
        <v>434</v>
      </c>
      <c r="P268" s="558">
        <f ca="1">IF(M268&gt;0,N268*100/M268,0)</f>
        <v>100</v>
      </c>
      <c r="Q268" s="558">
        <f ca="1">Q271+Q274</f>
        <v>53440</v>
      </c>
      <c r="R268" s="558">
        <f ca="1">R271+R274</f>
        <v>53440</v>
      </c>
      <c r="S268" s="558">
        <f ca="1">S271+S274</f>
        <v>44045</v>
      </c>
      <c r="T268" s="558">
        <f ca="1">IF(Q268&gt;0,S268*100/Q268,0)</f>
        <v>82.419535928143716</v>
      </c>
      <c r="U268" s="558">
        <f ca="1">IF(R268&gt;0,S268*100/R268,0)</f>
        <v>82.419535928143716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21700</v>
      </c>
      <c r="N269" s="558">
        <f ca="1">N270+N271</f>
        <v>21700</v>
      </c>
      <c r="O269" s="558">
        <f ca="1">IF(L269&gt;0,N269*100/L269,0)</f>
        <v>434</v>
      </c>
      <c r="P269" s="558">
        <f ca="1">IF(M269&gt;0,N269*100/M269,0)</f>
        <v>100</v>
      </c>
      <c r="Q269" s="558">
        <f ca="1">Q270+Q271</f>
        <v>53440</v>
      </c>
      <c r="R269" s="558">
        <f ca="1">R270+R271</f>
        <v>53440</v>
      </c>
      <c r="S269" s="558">
        <f ca="1">S270+S271</f>
        <v>44045</v>
      </c>
      <c r="T269" s="558">
        <f ca="1">IF(Q269&gt;0,S269*100/Q269,0)</f>
        <v>82.419535928143716</v>
      </c>
      <c r="U269" s="558">
        <f ca="1">IF(R269&gt;0,S269*100/R269,0)</f>
        <v>82.419535928143716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IFERROR(__xludf.DUMMYFUNCTION("IMPORTRANGE(""https://docs.google.com/spreadsheets/d/1-uDff_7J0KD5mKrp0Vvzr7lt3OU09vwQwhkpOPPYv2Y/edit?usp=sharing"",""งบพรบ!DE20"")"),5000)</f>
        <v>5000</v>
      </c>
      <c r="M271" s="558">
        <f ca="1">IFERROR(__xludf.DUMMYFUNCTION("IMPORTRANGE(""https://docs.google.com/spreadsheets/d/1-uDff_7J0KD5mKrp0Vvzr7lt3OU09vwQwhkpOPPYv2Y/edit?usp=sharing"",""งบพรบ!DJ20"")"),21700)</f>
        <v>21700</v>
      </c>
      <c r="N271" s="558">
        <f ca="1">IFERROR(__xludf.DUMMYFUNCTION("IMPORTRANGE(""https://docs.google.com/spreadsheets/d/1-uDff_7J0KD5mKrp0Vvzr7lt3OU09vwQwhkpOPPYv2Y/edit?usp=sharing"",""งบพรบ!DL20"")"),21700)</f>
        <v>21700</v>
      </c>
      <c r="O271" s="558">
        <f ca="1">IF(L271&gt;0,N271*100/L271,0)</f>
        <v>434</v>
      </c>
      <c r="P271" s="558">
        <f ca="1">IF(M271&gt;0,N271*100/M271,0)</f>
        <v>100</v>
      </c>
      <c r="Q271" s="558">
        <f ca="1">IFERROR(__xludf.DUMMYFUNCTION("IMPORTRANGE(""https://docs.google.com/spreadsheets/d/1ItG2mGa2ceCfYo0BwxsXqNm01IGEUdYcSSLTEv9YCik/edit?usp=sharing"",""เบิกจ่ายกองทุน!AP20"")"),53440)</f>
        <v>53440</v>
      </c>
      <c r="R271" s="558">
        <f ca="1">IFERROR(__xludf.DUMMYFUNCTION("IMPORTRANGE(""https://docs.google.com/spreadsheets/d/1ItG2mGa2ceCfYo0BwxsXqNm01IGEUdYcSSLTEv9YCik/edit?usp=sharing"",""เบิกจ่ายกองทุน!AQ20"")"),53440)</f>
        <v>53440</v>
      </c>
      <c r="S271" s="558">
        <f ca="1">IFERROR(__xludf.DUMMYFUNCTION("IMPORTRANGE(""https://docs.google.com/spreadsheets/d/1ItG2mGa2ceCfYo0BwxsXqNm01IGEUdYcSSLTEv9YCik/edit?usp=sharing"",""เบิกจ่ายกองทุน!AR20"")"),44045)</f>
        <v>44045</v>
      </c>
      <c r="T271" s="558">
        <f ca="1">IF(Q271&gt;0,S271*100/Q271,0)</f>
        <v>82.419535928143716</v>
      </c>
      <c r="U271" s="558">
        <f ca="1">IF(R271&gt;0,S271*100/R271,0)</f>
        <v>82.419535928143716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IFERROR(__xludf.DUMMYFUNCTION("IMPORTRANGE(""https://docs.google.com/spreadsheets/d/1-uDff_7J0KD5mKrp0Vvzr7lt3OU09vwQwhkpOPPYv2Y/edit?usp=sharing"",""งบพรบ!DH20"")"),0)</f>
        <v>0</v>
      </c>
      <c r="M274" s="558">
        <f ca="1">IFERROR(__xludf.DUMMYFUNCTION("IMPORTRANGE(""https://docs.google.com/spreadsheets/d/1-uDff_7J0KD5mKrp0Vvzr7lt3OU09vwQwhkpOPPYv2Y/edit?usp=sharing"",""งบพรบ!DK20"")"),0)</f>
        <v>0</v>
      </c>
      <c r="N274" s="558">
        <f ca="1">IFERROR(__xludf.DUMMYFUNCTION("IMPORTRANGE(""https://docs.google.com/spreadsheets/d/1-uDff_7J0KD5mKrp0Vvzr7lt3OU09vwQwhkpOPPYv2Y/edit?usp=sharing"",""งบพรบ!DM20"")"),0)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911"/>
      <c r="B276" s="910"/>
      <c r="C276" s="910"/>
      <c r="D276" s="909" t="s">
        <v>115</v>
      </c>
      <c r="E276" s="908"/>
      <c r="F276" s="908"/>
      <c r="G276" s="907"/>
      <c r="H276" s="906" t="s">
        <v>35</v>
      </c>
      <c r="I276" s="905">
        <f ca="1">IFERROR(__xludf.DUMMYFUNCTION("IMPORTRANGE(""https://docs.google.com/spreadsheets/d/1eHaY18a8A9IcSdp1K8H6x8fbOy06t2VsZHhMHf-1x7Y/edit?usp=sharing"",""แผน!EC20"")"),24)</f>
        <v>24</v>
      </c>
      <c r="J276" s="904">
        <v>24</v>
      </c>
      <c r="K276" s="903">
        <f ca="1">IF(I276&gt;0,J276*100/I276,0)</f>
        <v>100</v>
      </c>
      <c r="L276" s="554"/>
      <c r="M276" s="407"/>
      <c r="N276" s="407"/>
      <c r="O276" s="407"/>
      <c r="P276" s="407"/>
      <c r="Q276" s="407"/>
      <c r="R276" s="407"/>
      <c r="S276" s="407"/>
      <c r="T276" s="407"/>
      <c r="U276" s="407"/>
    </row>
    <row r="277" spans="1:21" ht="18.75" hidden="1" x14ac:dyDescent="0.25">
      <c r="A277" s="902"/>
      <c r="B277" s="901"/>
      <c r="C277" s="901"/>
      <c r="D277" s="701" t="s">
        <v>116</v>
      </c>
      <c r="E277" s="900"/>
      <c r="F277" s="900"/>
      <c r="G277" s="899"/>
      <c r="H277" s="700" t="s">
        <v>35</v>
      </c>
      <c r="I277" s="488">
        <v>0</v>
      </c>
      <c r="J277" s="488">
        <v>0</v>
      </c>
      <c r="K277" s="699">
        <v>0</v>
      </c>
      <c r="L277" s="898"/>
      <c r="M277" s="897"/>
      <c r="N277" s="897"/>
      <c r="O277" s="897"/>
      <c r="P277" s="897"/>
      <c r="Q277" s="897"/>
      <c r="R277" s="897"/>
      <c r="S277" s="897"/>
      <c r="T277" s="897"/>
      <c r="U277" s="897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56120</v>
      </c>
      <c r="M282" s="547">
        <f ca="1">M283+M284</f>
        <v>68970</v>
      </c>
      <c r="N282" s="547">
        <f ca="1">N283+N284</f>
        <v>68970</v>
      </c>
      <c r="O282" s="547">
        <f ca="1">IF(L282&gt;0,N282*100/L282,0)</f>
        <v>122.89736279401284</v>
      </c>
      <c r="P282" s="547">
        <f ca="1">IF(M282&gt;0,N282*100/M282,0)</f>
        <v>100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56120</v>
      </c>
      <c r="M284" s="224">
        <f ca="1">M287+M290</f>
        <v>68970</v>
      </c>
      <c r="N284" s="224">
        <f ca="1">N287+N290</f>
        <v>68970</v>
      </c>
      <c r="O284" s="224">
        <f ca="1">IF(L284&gt;0,N284*100/L284,0)</f>
        <v>122.89736279401284</v>
      </c>
      <c r="P284" s="224">
        <f ca="1">IF(M284&gt;0,N284*100/M284,0)</f>
        <v>100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56120</v>
      </c>
      <c r="M285" s="224">
        <f ca="1">M286+M287</f>
        <v>68970</v>
      </c>
      <c r="N285" s="224">
        <f ca="1">N286+N287</f>
        <v>68970</v>
      </c>
      <c r="O285" s="224">
        <f ca="1">IF(L285&gt;0,N285*100/L285,0)</f>
        <v>122.89736279401284</v>
      </c>
      <c r="P285" s="224">
        <f ca="1">IF(M285&gt;0,N285*100/M285,0)</f>
        <v>100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IFERROR(__xludf.DUMMYFUNCTION("IMPORTRANGE(""https://docs.google.com/spreadsheets/d/1-uDff_7J0KD5mKrp0Vvzr7lt3OU09vwQwhkpOPPYv2Y/edit?usp=sharing"",""งบพรบ!DO20"")"),56120)</f>
        <v>56120</v>
      </c>
      <c r="M287" s="224">
        <f ca="1">IFERROR(__xludf.DUMMYFUNCTION("IMPORTRANGE(""https://docs.google.com/spreadsheets/d/1-uDff_7J0KD5mKrp0Vvzr7lt3OU09vwQwhkpOPPYv2Y/edit?usp=sharing"",""งบพรบ!DT20"")"),68970)</f>
        <v>68970</v>
      </c>
      <c r="N287" s="224">
        <f ca="1">IFERROR(__xludf.DUMMYFUNCTION("IMPORTRANGE(""https://docs.google.com/spreadsheets/d/1-uDff_7J0KD5mKrp0Vvzr7lt3OU09vwQwhkpOPPYv2Y/edit?usp=sharing"",""งบพรบ!DV20"")"),68970)</f>
        <v>68970</v>
      </c>
      <c r="O287" s="224">
        <f ca="1">IF(L287&gt;0,N287*100/L287,0)</f>
        <v>122.89736279401284</v>
      </c>
      <c r="P287" s="224">
        <f ca="1">IF(M287&gt;0,N287*100/M287,0)</f>
        <v>100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IFERROR(__xludf.DUMMYFUNCTION("IMPORTRANGE(""https://docs.google.com/spreadsheets/d/1-uDff_7J0KD5mKrp0Vvzr7lt3OU09vwQwhkpOPPYv2Y/edit?usp=sharing"",""งบพรบ!DR20"")"),0)</f>
        <v>0</v>
      </c>
      <c r="M290" s="224">
        <f ca="1">IFERROR(__xludf.DUMMYFUNCTION("IMPORTRANGE(""https://docs.google.com/spreadsheets/d/1-uDff_7J0KD5mKrp0Vvzr7lt3OU09vwQwhkpOPPYv2Y/edit?usp=sharing"",""งบพรบ!DU20"")"),0)</f>
        <v>0</v>
      </c>
      <c r="N290" s="224">
        <f ca="1">IFERROR(__xludf.DUMMYFUNCTION("IMPORTRANGE(""https://docs.google.com/spreadsheets/d/1-uDff_7J0KD5mKrp0Vvzr7lt3OU09vwQwhkpOPPYv2Y/edit?usp=sharing"",""งบพรบ!DW20"")"),0)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IFERROR(__xludf.DUMMYFUNCTION("IMPORTRANGE(""https://docs.google.com/spreadsheets/d/1eHaY18a8A9IcSdp1K8H6x8fbOy06t2VsZHhMHf-1x7Y/edit?usp=sharing"",""แผน!EE20"")"),100)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IFERROR(__xludf.DUMMYFUNCTION("IMPORTRANGE(""https://docs.google.com/spreadsheets/d/1eHaY18a8A9IcSdp1K8H6x8fbOy06t2VsZHhMHf-1x7Y/edit?usp=sharing"",""แผน!ED20"")"),10)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IFERROR(__xludf.DUMMYFUNCTION("IMPORTRANGE(""https://docs.google.com/spreadsheets/d/1eHaY18a8A9IcSdp1K8H6x8fbOy06t2VsZHhMHf-1x7Y/edit?usp=sharing"",""แผน!ED20"")"),10)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IFERROR(__xludf.DUMMYFUNCTION("IMPORTRANGE(""https://docs.google.com/spreadsheets/d/1eHaY18a8A9IcSdp1K8H6x8fbOy06t2VsZHhMHf-1x7Y/edit?usp=sharing"",""แผน!ED20"")"),10)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IFERROR(__xludf.DUMMYFUNCTION("IMPORTRANGE(""https://docs.google.com/spreadsheets/d/1eHaY18a8A9IcSdp1K8H6x8fbOy06t2VsZHhMHf-1x7Y/edit?usp=sharing"",""แผน!ED20"")"),10)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IFERROR(__xludf.DUMMYFUNCTION("IMPORTRANGE(""https://docs.google.com/spreadsheets/d/1eHaY18a8A9IcSdp1K8H6x8fbOy06t2VsZHhMHf-1x7Y/edit?usp=sharing"",""แผน!ED20"")"),10)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20</v>
      </c>
      <c r="J302" s="632">
        <f>J314</f>
        <v>20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184200</v>
      </c>
      <c r="M303" s="547">
        <f ca="1">M304+M305</f>
        <v>184200</v>
      </c>
      <c r="N303" s="547">
        <f ca="1">N304+N305</f>
        <v>176169</v>
      </c>
      <c r="O303" s="547">
        <f ca="1">IF(L303&gt;0,N303*100/L303,0)</f>
        <v>95.640065146579801</v>
      </c>
      <c r="P303" s="547">
        <f ca="1">IF(M303&gt;0,N303*100/M303,0)</f>
        <v>95.640065146579801</v>
      </c>
      <c r="Q303" s="547">
        <f ca="1">Q304+Q305</f>
        <v>144609.24</v>
      </c>
      <c r="R303" s="547">
        <f ca="1">R304+R305</f>
        <v>148809</v>
      </c>
      <c r="S303" s="547">
        <f ca="1">S304+S305</f>
        <v>119664</v>
      </c>
      <c r="T303" s="547">
        <f ca="1">IF(Q303&gt;0,S303*100/Q303,0)</f>
        <v>82.749898969111527</v>
      </c>
      <c r="U303" s="547">
        <f ca="1">IF(R303&gt;0,S303*100/R303,0)</f>
        <v>80.414491059008526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184200</v>
      </c>
      <c r="M305" s="224">
        <f ca="1">M308+M311</f>
        <v>184200</v>
      </c>
      <c r="N305" s="224">
        <f ca="1">N308+N311</f>
        <v>176169</v>
      </c>
      <c r="O305" s="224">
        <f ca="1">IF(L305&gt;0,N305*100/L305,0)</f>
        <v>95.640065146579801</v>
      </c>
      <c r="P305" s="224">
        <f ca="1">IF(M305&gt;0,N305*100/M305,0)</f>
        <v>95.640065146579801</v>
      </c>
      <c r="Q305" s="224">
        <f ca="1">Q308+Q311</f>
        <v>144609.24</v>
      </c>
      <c r="R305" s="224">
        <f ca="1">R308+R311</f>
        <v>148809</v>
      </c>
      <c r="S305" s="224">
        <f ca="1">S308+S311</f>
        <v>119664</v>
      </c>
      <c r="T305" s="224">
        <f ca="1">IF(Q305&gt;0,S305*100/Q305,0)</f>
        <v>82.749898969111527</v>
      </c>
      <c r="U305" s="224">
        <f ca="1">IF(R305&gt;0,S305*100/R305,0)</f>
        <v>80.414491059008526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184200</v>
      </c>
      <c r="M306" s="224">
        <f ca="1">M307+M308</f>
        <v>184200</v>
      </c>
      <c r="N306" s="224">
        <f ca="1">N307+N308</f>
        <v>176169</v>
      </c>
      <c r="O306" s="224">
        <f ca="1">IF(L306&gt;0,N306*100/L306,0)</f>
        <v>95.640065146579801</v>
      </c>
      <c r="P306" s="224">
        <f ca="1">IF(M306&gt;0,N306*100/M306,0)</f>
        <v>95.640065146579801</v>
      </c>
      <c r="Q306" s="224">
        <f ca="1">Q307+Q308</f>
        <v>144609.24</v>
      </c>
      <c r="R306" s="224">
        <f ca="1">R307+R308</f>
        <v>148809</v>
      </c>
      <c r="S306" s="224">
        <f ca="1">S307+S308</f>
        <v>119664</v>
      </c>
      <c r="T306" s="224">
        <f ca="1">IF(Q306&gt;0,S306*100/Q306,0)</f>
        <v>82.749898969111527</v>
      </c>
      <c r="U306" s="224">
        <f ca="1">IF(R306&gt;0,S306*100/R306,0)</f>
        <v>80.414491059008526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IFERROR(__xludf.DUMMYFUNCTION("IMPORTRANGE(""https://docs.google.com/spreadsheets/d/1-uDff_7J0KD5mKrp0Vvzr7lt3OU09vwQwhkpOPPYv2Y/edit?usp=sharing"",""งบพรบ!DY20"")"),184200)</f>
        <v>184200</v>
      </c>
      <c r="M308" s="224">
        <f ca="1">IFERROR(__xludf.DUMMYFUNCTION("IMPORTRANGE(""https://docs.google.com/spreadsheets/d/1-uDff_7J0KD5mKrp0Vvzr7lt3OU09vwQwhkpOPPYv2Y/edit?usp=sharing"",""งบพรบ!ED20"")"),184200)</f>
        <v>184200</v>
      </c>
      <c r="N308" s="224">
        <f ca="1">IFERROR(__xludf.DUMMYFUNCTION("IMPORTRANGE(""https://docs.google.com/spreadsheets/d/1-uDff_7J0KD5mKrp0Vvzr7lt3OU09vwQwhkpOPPYv2Y/edit?usp=sharing"",""งบพรบ!EF20"")"),176169)</f>
        <v>176169</v>
      </c>
      <c r="O308" s="224">
        <f ca="1">IF(L308&gt;0,N308*100/L308,0)</f>
        <v>95.640065146579801</v>
      </c>
      <c r="P308" s="224">
        <f ca="1">IF(M308&gt;0,N308*100/M308,0)</f>
        <v>95.640065146579801</v>
      </c>
      <c r="Q308" s="224">
        <f ca="1">IFERROR(__xludf.DUMMYFUNCTION("IMPORTRANGE(""https://docs.google.com/spreadsheets/d/1ItG2mGa2ceCfYo0BwxsXqNm01IGEUdYcSSLTEv9YCik/edit?usp=sharing"",""เบิกจ่ายกองทุน!BB20"")"),144609.24)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IFERROR(__xludf.DUMMYFUNCTION("IMPORTRANGE(""https://docs.google.com/spreadsheets/d/1ItG2mGa2ceCfYo0BwxsXqNm01IGEUdYcSSLTEv9YCik/edit?usp=sharing"",""เบิกจ่ายกองทุน!BC20"")"),148809)</f>
        <v>148809</v>
      </c>
      <c r="S308" s="224">
        <f ca="1">IFERROR(__xludf.DUMMYFUNCTION("IMPORTRANGE(""https://docs.google.com/spreadsheets/d/1ItG2mGa2ceCfYo0BwxsXqNm01IGEUdYcSSLTEv9YCik/edit?usp=sharing"",""เบิกจ่ายกองทุน!BD20"")"),119664)</f>
        <v>119664</v>
      </c>
      <c r="T308" s="224">
        <f ca="1">IF(Q308&gt;0,S308*100/Q308,0)</f>
        <v>82.749898969111527</v>
      </c>
      <c r="U308" s="224">
        <f ca="1">IF(R308&gt;0,S308*100/R308,0)</f>
        <v>80.414491059008526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IFERROR(__xludf.DUMMYFUNCTION("IMPORTRANGE(""https://docs.google.com/spreadsheets/d/1-uDff_7J0KD5mKrp0Vvzr7lt3OU09vwQwhkpOPPYv2Y/edit?usp=sharing"",""งบพรบ!EB20"")"),0)</f>
        <v>0</v>
      </c>
      <c r="M311" s="224">
        <f ca="1">IFERROR(__xludf.DUMMYFUNCTION("IMPORTRANGE(""https://docs.google.com/spreadsheets/d/1-uDff_7J0KD5mKrp0Vvzr7lt3OU09vwQwhkpOPPYv2Y/edit?usp=sharing"",""งบพรบ!EE20"")"),0)</f>
        <v>0</v>
      </c>
      <c r="N311" s="224">
        <f ca="1">IFERROR(__xludf.DUMMYFUNCTION("IMPORTRANGE(""https://docs.google.com/spreadsheets/d/1-uDff_7J0KD5mKrp0Vvzr7lt3OU09vwQwhkpOPPYv2Y/edit?usp=sharing"",""งบพรบ!EG20"")"),0)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IFERROR(__xludf.DUMMYFUNCTION("IMPORTRANGE(""https://docs.google.com/spreadsheets/d/1eHaY18a8A9IcSdp1K8H6x8fbOy06t2VsZHhMHf-1x7Y/edit?usp=sharing"",""แผน!EF20"")"),20)</f>
        <v>20</v>
      </c>
      <c r="J314" s="380">
        <v>20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67500</v>
      </c>
      <c r="N320" s="547">
        <f ca="1">N321+N322</f>
        <v>67000</v>
      </c>
      <c r="O320" s="547">
        <f ca="1">IF(L320&gt;0,N320*100/L320,0)</f>
        <v>0</v>
      </c>
      <c r="P320" s="547">
        <f ca="1">IF(M320&gt;0,N320*100/M320,0)</f>
        <v>99.259259259259252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67500</v>
      </c>
      <c r="N322" s="224">
        <f ca="1">N325+N328</f>
        <v>67000</v>
      </c>
      <c r="O322" s="224">
        <f ca="1">IF(L322&gt;0,N322*100/L322,0)</f>
        <v>0</v>
      </c>
      <c r="P322" s="224">
        <f ca="1">IF(M322&gt;0,N322*100/M322,0)</f>
        <v>99.259259259259252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67500</v>
      </c>
      <c r="N323" s="224">
        <f ca="1">N324+N325</f>
        <v>67000</v>
      </c>
      <c r="O323" s="224">
        <f ca="1">IF(L323&gt;0,N323*100/L323,0)</f>
        <v>0</v>
      </c>
      <c r="P323" s="224">
        <f ca="1">IF(M323&gt;0,N323*100/M323,0)</f>
        <v>99.259259259259252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IFERROR(__xludf.DUMMYFUNCTION("IMPORTRANGE(""https://docs.google.com/spreadsheets/d/1-uDff_7J0KD5mKrp0Vvzr7lt3OU09vwQwhkpOPPYv2Y/edit?usp=sharing"",""งบพรบ!EI20"")"),0)</f>
        <v>0</v>
      </c>
      <c r="M325" s="224">
        <f ca="1">IFERROR(__xludf.DUMMYFUNCTION("IMPORTRANGE(""https://docs.google.com/spreadsheets/d/1-uDff_7J0KD5mKrp0Vvzr7lt3OU09vwQwhkpOPPYv2Y/edit?usp=sharing"",""งบพรบ!EN20"")"),67500)</f>
        <v>67500</v>
      </c>
      <c r="N325" s="224">
        <f ca="1">IFERROR(__xludf.DUMMYFUNCTION("IMPORTRANGE(""https://docs.google.com/spreadsheets/d/1-uDff_7J0KD5mKrp0Vvzr7lt3OU09vwQwhkpOPPYv2Y/edit?usp=sharing"",""งบพรบ!EP20"")"),67000)</f>
        <v>67000</v>
      </c>
      <c r="O325" s="224">
        <f ca="1">IF(L325&gt;0,N325*100/L325,0)</f>
        <v>0</v>
      </c>
      <c r="P325" s="224">
        <f ca="1">IF(M325&gt;0,N325*100/M325,0)</f>
        <v>99.259259259259252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IFERROR(__xludf.DUMMYFUNCTION("IMPORTRANGE(""https://docs.google.com/spreadsheets/d/1-uDff_7J0KD5mKrp0Vvzr7lt3OU09vwQwhkpOPPYv2Y/edit?usp=sharing"",""งบพรบ!EL20"")"),0)</f>
        <v>0</v>
      </c>
      <c r="M328" s="224">
        <f ca="1">IFERROR(__xludf.DUMMYFUNCTION("IMPORTRANGE(""https://docs.google.com/spreadsheets/d/1-uDff_7J0KD5mKrp0Vvzr7lt3OU09vwQwhkpOPPYv2Y/edit?usp=sharing"",""งบพรบ!EO20"")"),0)</f>
        <v>0</v>
      </c>
      <c r="N328" s="224">
        <f ca="1">IFERROR(__xludf.DUMMYFUNCTION("IMPORTRANGE(""https://docs.google.com/spreadsheets/d/1-uDff_7J0KD5mKrp0Vvzr7lt3OU09vwQwhkpOPPYv2Y/edit?usp=sharing"",""งบพรบ!EQ20"")"),0)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IFERROR(__xludf.DUMMYFUNCTION("IMPORTRANGE(""https://docs.google.com/spreadsheets/d/1eHaY18a8A9IcSdp1K8H6x8fbOy06t2VsZHhMHf-1x7Y/edit?usp=sharing"",""แผน!EJ20"")"),0)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IFERROR(__xludf.DUMMYFUNCTION("IMPORTRANGE(""https://docs.google.com/spreadsheets/d/1eHaY18a8A9IcSdp1K8H6x8fbOy06t2VsZHhMHf-1x7Y/edit?usp=sharing"",""แผน!EK20"")"),1600)</f>
        <v>1600</v>
      </c>
      <c r="J332" s="300">
        <f ca="1">J344+J347+J348+J349+J353+J354</f>
        <v>16250</v>
      </c>
      <c r="K332" s="679">
        <f ca="1">IF(I332&gt;0,J332*100/I332,0)</f>
        <v>1015.625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183000</v>
      </c>
      <c r="M333" s="547">
        <f ca="1">M334+M335</f>
        <v>183000</v>
      </c>
      <c r="N333" s="547">
        <f ca="1">N334+N335</f>
        <v>135339</v>
      </c>
      <c r="O333" s="547">
        <f ca="1">IF(L333&gt;0,N333*100/L333,0)</f>
        <v>73.955737704918036</v>
      </c>
      <c r="P333" s="547">
        <f ca="1">IF(M333&gt;0,N333*100/M333,0)</f>
        <v>73.955737704918036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183000</v>
      </c>
      <c r="M335" s="224">
        <f ca="1">M338+M341</f>
        <v>183000</v>
      </c>
      <c r="N335" s="224">
        <f ca="1">N338+N341</f>
        <v>135339</v>
      </c>
      <c r="O335" s="224">
        <f ca="1">IF(L335&gt;0,N335*100/L335,0)</f>
        <v>73.955737704918036</v>
      </c>
      <c r="P335" s="224">
        <f ca="1">IF(M335&gt;0,N335*100/M335,0)</f>
        <v>73.955737704918036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183000</v>
      </c>
      <c r="M336" s="224">
        <f ca="1">M337+M338</f>
        <v>183000</v>
      </c>
      <c r="N336" s="224">
        <f ca="1">N337+N338</f>
        <v>135339</v>
      </c>
      <c r="O336" s="224">
        <f ca="1">IF(L336&gt;0,N336*100/L336,0)</f>
        <v>73.955737704918036</v>
      </c>
      <c r="P336" s="224">
        <f ca="1">IF(M336&gt;0,N336*100/M336,0)</f>
        <v>73.955737704918036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IFERROR(__xludf.DUMMYFUNCTION("IMPORTRANGE(""https://docs.google.com/spreadsheets/d/1-uDff_7J0KD5mKrp0Vvzr7lt3OU09vwQwhkpOPPYv2Y/edit?usp=sharing"",""งบพรบ!ES20"")"),183000)</f>
        <v>183000</v>
      </c>
      <c r="M338" s="224">
        <f ca="1">IFERROR(__xludf.DUMMYFUNCTION("IMPORTRANGE(""https://docs.google.com/spreadsheets/d/1-uDff_7J0KD5mKrp0Vvzr7lt3OU09vwQwhkpOPPYv2Y/edit?usp=sharing"",""งบพรบ!EX20"")"),183000)</f>
        <v>183000</v>
      </c>
      <c r="N338" s="224">
        <f ca="1">IFERROR(__xludf.DUMMYFUNCTION("IMPORTRANGE(""https://docs.google.com/spreadsheets/d/1-uDff_7J0KD5mKrp0Vvzr7lt3OU09vwQwhkpOPPYv2Y/edit?usp=sharing"",""งบพรบ!EZ20"")"),135339)</f>
        <v>135339</v>
      </c>
      <c r="O338" s="224">
        <f ca="1">IF(L338&gt;0,N338*100/L338,0)</f>
        <v>73.955737704918036</v>
      </c>
      <c r="P338" s="224">
        <f ca="1">IF(M338&gt;0,N338*100/M338,0)</f>
        <v>73.955737704918036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IFERROR(__xludf.DUMMYFUNCTION("IMPORTRANGE(""https://docs.google.com/spreadsheets/d/1-uDff_7J0KD5mKrp0Vvzr7lt3OU09vwQwhkpOPPYv2Y/edit?usp=sharing"",""งบพรบ!EV20"")"),0)</f>
        <v>0</v>
      </c>
      <c r="M341" s="224">
        <f ca="1">IFERROR(__xludf.DUMMYFUNCTION("IMPORTRANGE(""https://docs.google.com/spreadsheets/d/1-uDff_7J0KD5mKrp0Vvzr7lt3OU09vwQwhkpOPPYv2Y/edit?usp=sharing"",""งบพรบ!EY20"")"),0)</f>
        <v>0</v>
      </c>
      <c r="N341" s="224">
        <f ca="1">IFERROR(__xludf.DUMMYFUNCTION("IMPORTRANGE(""https://docs.google.com/spreadsheets/d/1-uDff_7J0KD5mKrp0Vvzr7lt3OU09vwQwhkpOPPYv2Y/edit?usp=sharing"",""งบพรบ!FA20"")"),0)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5089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IFERROR(__xludf.DUMMYFUNCTION("IMPORTRANGE(""https://docs.google.com/spreadsheets/d/1awYsYK3VOup2i3Pq_Yjnu8DRu_mYwSBnCR2QPthd0rU/edit?usp=sharing"",""ศูนย์ยกเว้นโฉนด!D20"")"),5082)</f>
        <v>5082</v>
      </c>
      <c r="K344" s="224">
        <f>IF(I344&gt;0,J344*100/I344,0)</f>
        <v>0</v>
      </c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IFERROR(__xludf.DUMMYFUNCTION("IMPORTRANGE(""https://docs.google.com/spreadsheets/d/1eHaY18a8A9IcSdp1K8H6x8fbOy06t2VsZHhMHf-1x7Y/edit?usp=sharing"",""แผน!EL20"")"),5)</f>
        <v>5</v>
      </c>
      <c r="J346" s="184">
        <f ca="1">IFERROR(__xludf.DUMMYFUNCTION("IMPORTRANGE(""https://docs.google.com/spreadsheets/d/1awYsYK3VOup2i3Pq_Yjnu8DRu_mYwSBnCR2QPthd0rU/edit?usp=sharing"",""ศูนย์รวม!E20"")"),5)</f>
        <v>5</v>
      </c>
      <c r="K346" s="224">
        <f ca="1">IF(I346&gt;0,J346*100/I346,0)</f>
        <v>100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145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IFERROR(__xludf.DUMMYFUNCTION("IMPORTRANGE(""https://docs.google.com/spreadsheets/d/1awYsYK3VOup2i3Pq_Yjnu8DRu_mYwSBnCR2QPthd0rU/edit?usp=sharing"",""ศูนย์ยกเว้นโฉนด!F20"")"),3)</f>
        <v>3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IFERROR(__xludf.DUMMYFUNCTION("IMPORTRANGE(""https://docs.google.com/spreadsheets/d/1awYsYK3VOup2i3Pq_Yjnu8DRu_mYwSBnCR2QPthd0rU/edit?usp=sharing"",""ศูนย์ยกเว้นโฉนด!G20"")"),4)</f>
        <v>4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IFERROR(__xludf.DUMMYFUNCTION("IMPORTRANGE(""https://docs.google.com/spreadsheets/d/1awYsYK3VOup2i3Pq_Yjnu8DRu_mYwSBnCR2QPthd0rU/edit?usp=sharing"",""ศูนย์ยกเว้นโฉนด!H20"")"),0)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11161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IFERROR(__xludf.DUMMYFUNCTION("IMPORTRANGE(""https://docs.google.com/spreadsheets/d/1awYsYK3VOup2i3Pq_Yjnu8DRu_mYwSBnCR2QPthd0rU/edit?usp=sharing"",""โฉนดM3!G20"")"),2781)</f>
        <v>2781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IFERROR(__xludf.DUMMYFUNCTION("IMPORTRANGE(""https://docs.google.com/spreadsheets/d/1awYsYK3VOup2i3Pq_Yjnu8DRu_mYwSBnCR2QPthd0rU/edit?usp=sharing"",""โฉนดM3!H20"")"),9257)</f>
        <v>9257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IFERROR(__xludf.DUMMYFUNCTION("IMPORTRANGE(""https://docs.google.com/spreadsheets/d/1awYsYK3VOup2i3Pq_Yjnu8DRu_mYwSBnCR2QPthd0rU/edit?usp=sharing"",""โฉนดM3!I20"")"),1904)</f>
        <v>1904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313720</v>
      </c>
      <c r="M356" s="547">
        <f ca="1">M357+M358</f>
        <v>513615</v>
      </c>
      <c r="N356" s="547">
        <f ca="1">N357+N358</f>
        <v>315245.36</v>
      </c>
      <c r="O356" s="547">
        <f ca="1">IF(L356&gt;0,N356*100/L356,0)</f>
        <v>100.48621700879765</v>
      </c>
      <c r="P356" s="547">
        <f ca="1">IF(M356&gt;0,N356*100/M356,0)</f>
        <v>61.377755711963239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313720</v>
      </c>
      <c r="M358" s="224">
        <f ca="1">M361+M364</f>
        <v>513615</v>
      </c>
      <c r="N358" s="224">
        <f ca="1">N361+N364</f>
        <v>315245.36</v>
      </c>
      <c r="O358" s="224">
        <f ca="1">IF(L358&gt;0,N358*100/L358,0)</f>
        <v>100.48621700879765</v>
      </c>
      <c r="P358" s="224">
        <f ca="1">IF(M358&gt;0,N358*100/M358,0)</f>
        <v>61.377755711963239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313720</v>
      </c>
      <c r="M359" s="224">
        <f ca="1">M360+M361</f>
        <v>513615</v>
      </c>
      <c r="N359" s="224">
        <f ca="1">N360+N361</f>
        <v>315245.36</v>
      </c>
      <c r="O359" s="224">
        <f ca="1">IF(L359&gt;0,N359*100/L359,0)</f>
        <v>100.48621700879765</v>
      </c>
      <c r="P359" s="224">
        <f ca="1">IF(M359&gt;0,N359*100/M359,0)</f>
        <v>61.377755711963239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IFERROR(__xludf.DUMMYFUNCTION("IMPORTRANGE(""https://docs.google.com/spreadsheets/d/1-uDff_7J0KD5mKrp0Vvzr7lt3OU09vwQwhkpOPPYv2Y/edit?usp=sharing"",""งบพรบ!FC20"")"),313720)</f>
        <v>313720</v>
      </c>
      <c r="M361" s="224">
        <f ca="1">IFERROR(__xludf.DUMMYFUNCTION("IMPORTRANGE(""https://docs.google.com/spreadsheets/d/1-uDff_7J0KD5mKrp0Vvzr7lt3OU09vwQwhkpOPPYv2Y/edit?usp=sharing"",""งบพรบ!FH20"")"),513615)</f>
        <v>513615</v>
      </c>
      <c r="N361" s="224">
        <f ca="1">IFERROR(__xludf.DUMMYFUNCTION("IMPORTRANGE(""https://docs.google.com/spreadsheets/d/1-uDff_7J0KD5mKrp0Vvzr7lt3OU09vwQwhkpOPPYv2Y/edit?usp=sharing"",""งบพรบ!FJ20"")"),315245.36)</f>
        <v>315245.36</v>
      </c>
      <c r="O361" s="224">
        <f ca="1">IF(L361&gt;0,N361*100/L361,0)</f>
        <v>100.48621700879765</v>
      </c>
      <c r="P361" s="224">
        <f ca="1">IF(M361&gt;0,N361*100/M361,0)</f>
        <v>61.377755711963239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IFERROR(__xludf.DUMMYFUNCTION("IMPORTRANGE(""https://docs.google.com/spreadsheets/d/1-uDff_7J0KD5mKrp0Vvzr7lt3OU09vwQwhkpOPPYv2Y/edit?usp=sharing"",""งบพรบ!FF20"")"),0)</f>
        <v>0</v>
      </c>
      <c r="M364" s="224">
        <f ca="1">IFERROR(__xludf.DUMMYFUNCTION("IMPORTRANGE(""https://docs.google.com/spreadsheets/d/1-uDff_7J0KD5mKrp0Vvzr7lt3OU09vwQwhkpOPPYv2Y/edit?usp=sharing"",""งบพรบ!FI20"")"),0)</f>
        <v>0</v>
      </c>
      <c r="N364" s="224">
        <f ca="1">IFERROR(__xludf.DUMMYFUNCTION("IMPORTRANGE(""https://docs.google.com/spreadsheets/d/1-uDff_7J0KD5mKrp0Vvzr7lt3OU09vwQwhkpOPPYv2Y/edit?usp=sharing"",""งบพรบ!FK20"")"),0)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171</v>
      </c>
      <c r="J365" s="302">
        <f ca="1">J371</f>
        <v>205</v>
      </c>
      <c r="K365" s="303">
        <f ca="1">IF(I365&gt;0,J365*100/I365,0)</f>
        <v>119.88304093567251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IFERROR(__xludf.DUMMYFUNCTION("IMPORTRANGE(""https://docs.google.com/spreadsheets/d/1tdoBKaGub7dwA3U6UFTqxio9LNnvDCQjHKmttSEBsFQ/edit?usp=sharing"",""จัดที่ดิน!AB20"")"),164)</f>
        <v>164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IFERROR(__xludf.DUMMYFUNCTION("IMPORTRANGE(""https://docs.google.com/spreadsheets/d/1eHaY18a8A9IcSdp1K8H6x8fbOy06t2VsZHhMHf-1x7Y/edit?usp=sharing"",""แผน!EW20"")"),610)</f>
        <v>610</v>
      </c>
      <c r="J368" s="668">
        <f ca="1">IFERROR(__xludf.DUMMYFUNCTION("IMPORTRANGE(""https://docs.google.com/spreadsheets/d/1tdoBKaGub7dwA3U6UFTqxio9LNnvDCQjHKmttSEBsFQ/edit?usp=sharing"",""จัดที่ดิน!AC20"")"),856.44)</f>
        <v>856.44</v>
      </c>
      <c r="K368" s="224">
        <f ca="1">IF(I368&gt;0,J368*100/I368,0)</f>
        <v>140.4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IFERROR(__xludf.DUMMYFUNCTION("IMPORTRANGE(""https://docs.google.com/spreadsheets/d/1eHaY18a8A9IcSdp1K8H6x8fbOy06t2VsZHhMHf-1x7Y/edit?usp=sharing"",""แผน!EX20"")"),171)</f>
        <v>171</v>
      </c>
      <c r="J369" s="184">
        <f ca="1">IFERROR(__xludf.DUMMYFUNCTION("IMPORTRANGE(""https://docs.google.com/spreadsheets/d/1tdoBKaGub7dwA3U6UFTqxio9LNnvDCQjHKmttSEBsFQ/edit?usp=sharing"",""จัดที่ดิน!AD20"")"),189)</f>
        <v>189</v>
      </c>
      <c r="K369" s="224">
        <f ca="1">IF(I369&gt;0,J369*100/I369,0)</f>
        <v>110.52631578947368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IFERROR(__xludf.DUMMYFUNCTION("IMPORTRANGE(""https://docs.google.com/spreadsheets/d/1tdoBKaGub7dwA3U6UFTqxio9LNnvDCQjHKmttSEBsFQ/edit?usp=sharing"",""จัดที่ดิน!AE20"")"),1268.3)</f>
        <v>1268.3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IFERROR(__xludf.DUMMYFUNCTION("IMPORTRANGE(""https://docs.google.com/spreadsheets/d/1eHaY18a8A9IcSdp1K8H6x8fbOy06t2VsZHhMHf-1x7Y/edit?usp=sharing"",""แผน!EY20"")"),171)</f>
        <v>171</v>
      </c>
      <c r="J371" s="184">
        <f ca="1">IFERROR(__xludf.DUMMYFUNCTION("IMPORTRANGE(""https://docs.google.com/spreadsheets/d/1tdoBKaGub7dwA3U6UFTqxio9LNnvDCQjHKmttSEBsFQ/edit?usp=sharing"",""จัดที่ดิน!AF20"")"),205)</f>
        <v>205</v>
      </c>
      <c r="K371" s="224">
        <f ca="1">IF(I371&gt;0,J371*100/I371,0)</f>
        <v>119.88304093567251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IFERROR(__xludf.DUMMYFUNCTION("IMPORTRANGE(""https://docs.google.com/spreadsheets/d/1tdoBKaGub7dwA3U6UFTqxio9LNnvDCQjHKmttSEBsFQ/edit?usp=sharing"",""จัดที่ดิน!AG20"")"),1289.69)</f>
        <v>1289.69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896"/>
      <c r="B374" s="895" t="s">
        <v>157</v>
      </c>
      <c r="C374" s="894"/>
      <c r="D374" s="893"/>
      <c r="E374" s="892"/>
      <c r="F374" s="892"/>
      <c r="G374" s="891"/>
      <c r="H374" s="890" t="s">
        <v>46</v>
      </c>
      <c r="I374" s="889">
        <f ca="1">I386+I388</f>
        <v>88400</v>
      </c>
      <c r="J374" s="889">
        <f ca="1">J386+J388</f>
        <v>25864.720000000001</v>
      </c>
      <c r="K374" s="888">
        <f ca="1">IF(I374&gt;0,J374*100/I374,0)</f>
        <v>29.258733031674208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401"/>
      <c r="B375" s="402"/>
      <c r="C375" s="374" t="s">
        <v>18</v>
      </c>
      <c r="D375" s="887" t="s">
        <v>19</v>
      </c>
      <c r="E375" s="411"/>
      <c r="F375" s="411"/>
      <c r="G375" s="412"/>
      <c r="H375" s="717" t="s">
        <v>14</v>
      </c>
      <c r="I375" s="406"/>
      <c r="J375" s="406"/>
      <c r="K375" s="407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125000</v>
      </c>
      <c r="R375" s="547">
        <f ca="1">R376+R377</f>
        <v>125000</v>
      </c>
      <c r="S375" s="547">
        <f ca="1">S376+S377</f>
        <v>67005</v>
      </c>
      <c r="T375" s="547">
        <f ca="1">IF(Q375&gt;0,S375*100/Q375,0)</f>
        <v>53.603999999999999</v>
      </c>
      <c r="U375" s="547">
        <f ca="1">IF(R375&gt;0,S375*100/R375,0)</f>
        <v>53.603999999999999</v>
      </c>
    </row>
    <row r="376" spans="1:21" ht="18.75" hidden="1" x14ac:dyDescent="0.25">
      <c r="A376" s="401"/>
      <c r="B376" s="402"/>
      <c r="C376" s="402"/>
      <c r="D376" s="402"/>
      <c r="E376" s="410" t="s">
        <v>20</v>
      </c>
      <c r="F376" s="411"/>
      <c r="G376" s="412"/>
      <c r="H376" s="556" t="s">
        <v>14</v>
      </c>
      <c r="I376" s="406"/>
      <c r="J376" s="406"/>
      <c r="K376" s="407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401"/>
      <c r="B377" s="402"/>
      <c r="C377" s="402"/>
      <c r="D377" s="402"/>
      <c r="E377" s="410" t="s">
        <v>21</v>
      </c>
      <c r="F377" s="411"/>
      <c r="G377" s="412"/>
      <c r="H377" s="556" t="s">
        <v>14</v>
      </c>
      <c r="I377" s="406"/>
      <c r="J377" s="406"/>
      <c r="K377" s="407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67005</v>
      </c>
      <c r="T377" s="224">
        <f ca="1">IF(Q377&gt;0,S377*100/Q377,0)</f>
        <v>53.603999999999999</v>
      </c>
      <c r="U377" s="224">
        <f ca="1">IF(R377&gt;0,S377*100/R377,0)</f>
        <v>53.603999999999999</v>
      </c>
    </row>
    <row r="378" spans="1:21" ht="18.75" x14ac:dyDescent="0.25">
      <c r="A378" s="401"/>
      <c r="B378" s="402"/>
      <c r="C378" s="402"/>
      <c r="D378" s="886" t="s">
        <v>22</v>
      </c>
      <c r="E378" s="411"/>
      <c r="F378" s="411"/>
      <c r="G378" s="412"/>
      <c r="H378" s="413" t="s">
        <v>14</v>
      </c>
      <c r="I378" s="416"/>
      <c r="J378" s="416"/>
      <c r="K378" s="417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67005</v>
      </c>
      <c r="T378" s="224">
        <f ca="1">IF(Q378&gt;0,S378*100/Q378,0)</f>
        <v>53.603999999999999</v>
      </c>
      <c r="U378" s="224">
        <f ca="1">IF(R378&gt;0,S378*100/R378,0)</f>
        <v>53.603999999999999</v>
      </c>
    </row>
    <row r="379" spans="1:21" ht="18.75" hidden="1" x14ac:dyDescent="0.25">
      <c r="A379" s="401"/>
      <c r="B379" s="402"/>
      <c r="C379" s="402"/>
      <c r="D379" s="402"/>
      <c r="E379" s="410" t="s">
        <v>36</v>
      </c>
      <c r="F379" s="411"/>
      <c r="G379" s="412"/>
      <c r="H379" s="413" t="s">
        <v>14</v>
      </c>
      <c r="I379" s="416"/>
      <c r="J379" s="416"/>
      <c r="K379" s="417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401"/>
      <c r="B380" s="402"/>
      <c r="C380" s="402"/>
      <c r="D380" s="402"/>
      <c r="E380" s="419" t="s">
        <v>37</v>
      </c>
      <c r="F380" s="402"/>
      <c r="G380" s="560"/>
      <c r="H380" s="413" t="s">
        <v>14</v>
      </c>
      <c r="I380" s="416"/>
      <c r="J380" s="416"/>
      <c r="K380" s="417"/>
      <c r="L380" s="545">
        <f ca="1">IFERROR(__xludf.DUMMYFUNCTION("IMPORTRANGE(""https://docs.google.com/spreadsheets/d/1-uDff_7J0KD5mKrp0Vvzr7lt3OU09vwQwhkpOPPYv2Y/edit?usp=sharing"",""งบพรบ!IE20"")"),0)</f>
        <v>0</v>
      </c>
      <c r="M380" s="224">
        <f ca="1">IFERROR(__xludf.DUMMYFUNCTION("IMPORTRANGE(""https://docs.google.com/spreadsheets/d/1-uDff_7J0KD5mKrp0Vvzr7lt3OU09vwQwhkpOPPYv2Y/edit?usp=sharing"",""งบพรบ!IJ20"")"),0)</f>
        <v>0</v>
      </c>
      <c r="N380" s="224">
        <f ca="1">IFERROR(__xludf.DUMMYFUNCTION("IMPORTRANGE(""https://docs.google.com/spreadsheets/d/1-uDff_7J0KD5mKrp0Vvzr7lt3OU09vwQwhkpOPPYv2Y/edit?usp=sharing"",""งบพรบ!IL20"")"),0)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IFERROR(__xludf.DUMMYFUNCTION("IMPORTRANGE(""https://docs.google.com/spreadsheets/d/1ItG2mGa2ceCfYo0BwxsXqNm01IGEUdYcSSLTEv9YCik/edit?usp=sharing"",""เบิกจ่ายกองทุน!BW20"")"),125000)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IFERROR(__xludf.DUMMYFUNCTION("IMPORTRANGE(""https://docs.google.com/spreadsheets/d/1ItG2mGa2ceCfYo0BwxsXqNm01IGEUdYcSSLTEv9YCik/edit?usp=sharing"",""เบิกจ่ายกองทุน!BX20"")"),125000)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IFERROR(__xludf.DUMMYFUNCTION("IMPORTRANGE(""https://docs.google.com/spreadsheets/d/1ItG2mGa2ceCfYo0BwxsXqNm01IGEUdYcSSLTEv9YCik/edit?usp=sharing"",""เบิกจ่ายกองทุน!BY20"")"),67005)</f>
        <v>67005</v>
      </c>
      <c r="T380" s="224">
        <f ca="1">IF(Q380&gt;0,S380*100/Q380,0)</f>
        <v>53.603999999999999</v>
      </c>
      <c r="U380" s="224">
        <f ca="1">IF(R380&gt;0,S380*100/R380,0)</f>
        <v>53.603999999999999</v>
      </c>
    </row>
    <row r="381" spans="1:21" ht="18.75" x14ac:dyDescent="0.25">
      <c r="A381" s="401"/>
      <c r="B381" s="402"/>
      <c r="C381" s="402"/>
      <c r="D381" s="886" t="s">
        <v>23</v>
      </c>
      <c r="E381" s="411"/>
      <c r="F381" s="411"/>
      <c r="G381" s="412"/>
      <c r="H381" s="420" t="s">
        <v>14</v>
      </c>
      <c r="I381" s="416"/>
      <c r="J381" s="416"/>
      <c r="K381" s="417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401"/>
      <c r="B382" s="402"/>
      <c r="C382" s="402"/>
      <c r="D382" s="402"/>
      <c r="E382" s="410" t="s">
        <v>20</v>
      </c>
      <c r="F382" s="411"/>
      <c r="G382" s="412"/>
      <c r="H382" s="413" t="s">
        <v>14</v>
      </c>
      <c r="I382" s="416"/>
      <c r="J382" s="416"/>
      <c r="K382" s="417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401"/>
      <c r="B383" s="402"/>
      <c r="C383" s="402"/>
      <c r="D383" s="402"/>
      <c r="E383" s="410" t="s">
        <v>21</v>
      </c>
      <c r="F383" s="411"/>
      <c r="G383" s="412"/>
      <c r="H383" s="420" t="s">
        <v>14</v>
      </c>
      <c r="I383" s="416"/>
      <c r="J383" s="416"/>
      <c r="K383" s="417"/>
      <c r="L383" s="545">
        <f ca="1">IFERROR(__xludf.DUMMYFUNCTION("IMPORTRANGE(""https://docs.google.com/spreadsheets/d/1-uDff_7J0KD5mKrp0Vvzr7lt3OU09vwQwhkpOPPYv2Y/edit?usp=sharing"",""งบพรบ!IH20"")"),0)</f>
        <v>0</v>
      </c>
      <c r="M383" s="224">
        <f ca="1">IFERROR(__xludf.DUMMYFUNCTION("IMPORTRANGE(""https://docs.google.com/spreadsheets/d/1-uDff_7J0KD5mKrp0Vvzr7lt3OU09vwQwhkpOPPYv2Y/edit?usp=sharing"",""งบพรบ!IK20"")"),0)</f>
        <v>0</v>
      </c>
      <c r="N383" s="224">
        <f ca="1">IFERROR(__xludf.DUMMYFUNCTION("IMPORTRANGE(""https://docs.google.com/spreadsheets/d/1-uDff_7J0KD5mKrp0Vvzr7lt3OU09vwQwhkpOPPYv2Y/edit?usp=sharing"",""งบพรบ!IM20"")"),0)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421"/>
      <c r="B384" s="422"/>
      <c r="C384" s="374" t="s">
        <v>18</v>
      </c>
      <c r="D384" s="885" t="s">
        <v>38</v>
      </c>
      <c r="E384" s="424"/>
      <c r="F384" s="424"/>
      <c r="G384" s="425"/>
      <c r="H384" s="426"/>
      <c r="I384" s="416"/>
      <c r="J384" s="406"/>
      <c r="K384" s="407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658"/>
      <c r="B385" s="402"/>
      <c r="C385" s="402"/>
      <c r="D385" s="402"/>
      <c r="E385" s="410" t="s">
        <v>158</v>
      </c>
      <c r="F385" s="411"/>
      <c r="G385" s="412"/>
      <c r="H385" s="556" t="s">
        <v>34</v>
      </c>
      <c r="I385" s="559">
        <v>0</v>
      </c>
      <c r="J385" s="559">
        <f ca="1">IFERROR(__xludf.DUMMYFUNCTION("IMPORTRANGE(""https://docs.google.com/spreadsheets/d/1w5rwWK1o49a35cNtocGL0gxDwhFSTZUQu90BiH9_zqM/edit?usp=sharing"",""RTK!H20"")"),60)</f>
        <v>60</v>
      </c>
      <c r="K385" s="558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658"/>
      <c r="B386" s="402"/>
      <c r="C386" s="402"/>
      <c r="D386" s="402"/>
      <c r="E386" s="402"/>
      <c r="F386" s="402"/>
      <c r="G386" s="560"/>
      <c r="H386" s="556" t="s">
        <v>46</v>
      </c>
      <c r="I386" s="559">
        <f ca="1">IFERROR(__xludf.DUMMYFUNCTION("IMPORTRANGE(""https://docs.google.com/spreadsheets/d/1w5rwWK1o49a35cNtocGL0gxDwhFSTZUQu90BiH9_zqM/edit?usp=sharing"",""RTK!G20"")"),2000)</f>
        <v>2000</v>
      </c>
      <c r="J386" s="559">
        <f ca="1">IFERROR(__xludf.DUMMYFUNCTION("IMPORTRANGE(""https://docs.google.com/spreadsheets/d/1w5rwWK1o49a35cNtocGL0gxDwhFSTZUQu90BiH9_zqM/edit?usp=sharing"",""RTK!I20"")"),583)</f>
        <v>583</v>
      </c>
      <c r="K386" s="558">
        <f ca="1">IF(I386&gt;0,J386*100/I386,0)</f>
        <v>29.15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IFERROR(__xludf.DUMMYFUNCTION("IMPORTRANGE(""https://docs.google.com/spreadsheets/d/1w5rwWK1o49a35cNtocGL0gxDwhFSTZUQu90BiH9_zqM/edit?usp=sharing"",""RTK!L20"")"),4175)</f>
        <v>4175</v>
      </c>
      <c r="K387" s="558">
        <f>IF(I387&gt;0,J387*100/I387,0)</f>
        <v>0</v>
      </c>
      <c r="L387" s="543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IFERROR(__xludf.DUMMYFUNCTION("IMPORTRANGE(""https://docs.google.com/spreadsheets/d/1w5rwWK1o49a35cNtocGL0gxDwhFSTZUQu90BiH9_zqM/edit?usp=sharing"",""RTK!K20"")"),86400)</f>
        <v>86400</v>
      </c>
      <c r="J388" s="559">
        <f ca="1">IFERROR(__xludf.DUMMYFUNCTION("IMPORTRANGE(""https://docs.google.com/spreadsheets/d/1w5rwWK1o49a35cNtocGL0gxDwhFSTZUQu90BiH9_zqM/edit?usp=sharing"",""RTK!M20"")"),25281.72)</f>
        <v>25281.72</v>
      </c>
      <c r="K388" s="558">
        <f ca="1">IF(I388&gt;0,J388*100/I388,0)</f>
        <v>29.26125</v>
      </c>
      <c r="L388" s="543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884"/>
      <c r="B389" s="883"/>
      <c r="C389" s="883"/>
      <c r="D389" s="883"/>
      <c r="E389" s="883"/>
      <c r="F389" s="883"/>
      <c r="G389" s="882"/>
      <c r="H389" s="882"/>
      <c r="I389" s="881"/>
      <c r="J389" s="881"/>
      <c r="K389" s="880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879"/>
      <c r="B390" s="878"/>
      <c r="C390" s="878"/>
      <c r="D390" s="878"/>
      <c r="E390" s="878"/>
      <c r="F390" s="878"/>
      <c r="G390" s="877"/>
      <c r="H390" s="877"/>
      <c r="I390" s="876"/>
      <c r="J390" s="876"/>
      <c r="K390" s="875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IFERROR(__xludf.DUMMYFUNCTION("IMPORTRANGE(""https://docs.google.com/spreadsheets/d/1ItG2mGa2ceCfYo0BwxsXqNm01IGEUdYcSSLTEv9YCik/edit?usp=sharing"",""เบิกจ่ายกองทุน!CL20"")"),0)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IFERROR(__xludf.DUMMYFUNCTION("IMPORTRANGE(""https://docs.google.com/spreadsheets/d/1ItG2mGa2ceCfYo0BwxsXqNm01IGEUdYcSSLTEv9YCik/edit?usp=sharing"",""เบิกจ่ายกองทุน!CM20"")"),0)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IFERROR(__xludf.DUMMYFUNCTION("IMPORTRANGE(""https://docs.google.com/spreadsheets/d/1ItG2mGa2ceCfYo0BwxsXqNm01IGEUdYcSSLTEv9YCik/edit?usp=sharing"",""เบิกจ่ายกองทุน!CN20"")"),0)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31466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488640</v>
      </c>
      <c r="M413" s="547">
        <f ca="1">M414+M415</f>
        <v>488640</v>
      </c>
      <c r="N413" s="547">
        <f ca="1">N414+N415</f>
        <v>268649.08</v>
      </c>
      <c r="O413" s="547">
        <f ca="1">IF(L413&gt;0,N413*100/L413,0)</f>
        <v>54.978937459070075</v>
      </c>
      <c r="P413" s="547">
        <f ca="1">IF(M413&gt;0,N413*100/M413,0)</f>
        <v>54.978937459070075</v>
      </c>
      <c r="Q413" s="547">
        <f ca="1">Q414+Q415</f>
        <v>75340</v>
      </c>
      <c r="R413" s="547">
        <f ca="1">R414+R415</f>
        <v>75340</v>
      </c>
      <c r="S413" s="547">
        <f ca="1">S414+S415</f>
        <v>4599</v>
      </c>
      <c r="T413" s="547">
        <f ca="1">IF(Q413&gt;0,S413*100/Q413,0)</f>
        <v>6.1043270507034775</v>
      </c>
      <c r="U413" s="547">
        <f ca="1">IF(R413&gt;0,S413*100/R413,0)</f>
        <v>6.1043270507034775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488640</v>
      </c>
      <c r="M415" s="224">
        <f ca="1">M418+M421</f>
        <v>488640</v>
      </c>
      <c r="N415" s="224">
        <f ca="1">N418+N421</f>
        <v>268649.08</v>
      </c>
      <c r="O415" s="224">
        <f ca="1">IF(L415&gt;0,N415*100/L415,0)</f>
        <v>54.978937459070075</v>
      </c>
      <c r="P415" s="224">
        <f ca="1">IF(M415&gt;0,N415*100/M415,0)</f>
        <v>54.978937459070075</v>
      </c>
      <c r="Q415" s="224">
        <f ca="1">Q418+Q421</f>
        <v>75340</v>
      </c>
      <c r="R415" s="224">
        <f ca="1">R418+R421</f>
        <v>75340</v>
      </c>
      <c r="S415" s="224">
        <f ca="1">S418+S421</f>
        <v>4599</v>
      </c>
      <c r="T415" s="224">
        <f ca="1">IF(Q415&gt;0,S415*100/Q415,0)</f>
        <v>6.1043270507034775</v>
      </c>
      <c r="U415" s="224">
        <f ca="1">IF(R415&gt;0,S415*100/R415,0)</f>
        <v>6.1043270507034775</v>
      </c>
    </row>
    <row r="416" spans="1:21" ht="19.5" x14ac:dyDescent="0.3">
      <c r="A416" s="128"/>
      <c r="B416" s="158"/>
      <c r="C416" s="158"/>
      <c r="D416" s="657" t="s">
        <v>22</v>
      </c>
      <c r="E416" s="158"/>
      <c r="F416" s="158"/>
      <c r="G416" s="180"/>
      <c r="H416" s="331" t="s">
        <v>14</v>
      </c>
      <c r="I416" s="44"/>
      <c r="J416" s="44"/>
      <c r="K416" s="45"/>
      <c r="L416" s="545">
        <f ca="1">L417+L418</f>
        <v>488640</v>
      </c>
      <c r="M416" s="224">
        <f ca="1">M417+M418</f>
        <v>488640</v>
      </c>
      <c r="N416" s="224">
        <f ca="1">N417+N418</f>
        <v>268649.08</v>
      </c>
      <c r="O416" s="224">
        <f ca="1">IF(L416&gt;0,N416*100/L416,0)</f>
        <v>54.978937459070075</v>
      </c>
      <c r="P416" s="224">
        <f ca="1">IF(M416&gt;0,N416*100/M416,0)</f>
        <v>54.978937459070075</v>
      </c>
      <c r="Q416" s="224">
        <f ca="1">Q417+Q418</f>
        <v>75340</v>
      </c>
      <c r="R416" s="224">
        <f ca="1">R417+R418</f>
        <v>75340</v>
      </c>
      <c r="S416" s="224">
        <f ca="1">S417+S418</f>
        <v>4599</v>
      </c>
      <c r="T416" s="224">
        <f ca="1">IF(Q416&gt;0,S416*100/Q416,0)</f>
        <v>6.1043270507034775</v>
      </c>
      <c r="U416" s="224">
        <f ca="1">IF(R416&gt;0,S416*100/R416,0)</f>
        <v>6.1043270507034775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IFERROR(__xludf.DUMMYFUNCTION("IMPORTRANGE(""https://docs.google.com/spreadsheets/d/1-uDff_7J0KD5mKrp0Vvzr7lt3OU09vwQwhkpOPPYv2Y/edit?usp=sharing"",""งบพรบ!IO20"")"),488640)</f>
        <v>488640</v>
      </c>
      <c r="M418" s="224">
        <f ca="1">IFERROR(__xludf.DUMMYFUNCTION("IMPORTRANGE(""https://docs.google.com/spreadsheets/d/1-uDff_7J0KD5mKrp0Vvzr7lt3OU09vwQwhkpOPPYv2Y/edit?usp=sharing"",""งบพรบ!IT20"")"),488640)</f>
        <v>488640</v>
      </c>
      <c r="N418" s="224">
        <f ca="1">IFERROR(__xludf.DUMMYFUNCTION("IMPORTRANGE(""https://docs.google.com/spreadsheets/d/1-uDff_7J0KD5mKrp0Vvzr7lt3OU09vwQwhkpOPPYv2Y/edit?usp=sharing"",""งบพรบ!IV20"")"),268649.08)</f>
        <v>268649.08</v>
      </c>
      <c r="O418" s="224">
        <f ca="1">IF(L418&gt;0,N418*100/L418,0)</f>
        <v>54.978937459070075</v>
      </c>
      <c r="P418" s="224">
        <f ca="1">IF(M418&gt;0,N418*100/M418,0)</f>
        <v>54.978937459070075</v>
      </c>
      <c r="Q418" s="224">
        <f ca="1">IFERROR(__xludf.DUMMYFUNCTION("IMPORTRANGE(""https://docs.google.com/spreadsheets/d/1ItG2mGa2ceCfYo0BwxsXqNm01IGEUdYcSSLTEv9YCik/edit?usp=sharing"",""เบิกจ่ายกองทุน!BZ20"")"),75340)</f>
        <v>75340</v>
      </c>
      <c r="R418" s="224">
        <f ca="1">IFERROR(__xludf.DUMMYFUNCTION("IMPORTRANGE(""https://docs.google.com/spreadsheets/d/1ItG2mGa2ceCfYo0BwxsXqNm01IGEUdYcSSLTEv9YCik/edit?usp=sharing"",""เบิกจ่ายกองทุน!CA20"")"),75340)</f>
        <v>75340</v>
      </c>
      <c r="S418" s="224">
        <f ca="1">IFERROR(__xludf.DUMMYFUNCTION("IMPORTRANGE(""https://docs.google.com/spreadsheets/d/1ItG2mGa2ceCfYo0BwxsXqNm01IGEUdYcSSLTEv9YCik/edit?usp=sharing"",""เบิกจ่ายกองทุน!CB20"")"),4599)</f>
        <v>4599</v>
      </c>
      <c r="T418" s="224">
        <f ca="1">IF(Q418&gt;0,S418*100/Q418,0)</f>
        <v>6.1043270507034775</v>
      </c>
      <c r="U418" s="224">
        <f ca="1">IF(R418&gt;0,S418*100/R418,0)</f>
        <v>6.1043270507034775</v>
      </c>
    </row>
    <row r="419" spans="1:21" ht="19.5" x14ac:dyDescent="0.3">
      <c r="A419" s="128"/>
      <c r="B419" s="158"/>
      <c r="C419" s="158"/>
      <c r="D419" s="657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IFERROR(__xludf.DUMMYFUNCTION("IMPORTRANGE(""https://docs.google.com/spreadsheets/d/1-uDff_7J0KD5mKrp0Vvzr7lt3OU09vwQwhkpOPPYv2Y/edit?usp=sharing"",""งบพรบ!IR20"")"),0)</f>
        <v>0</v>
      </c>
      <c r="M421" s="224">
        <f ca="1">IFERROR(__xludf.DUMMYFUNCTION("IMPORTRANGE(""https://docs.google.com/spreadsheets/d/1-uDff_7J0KD5mKrp0Vvzr7lt3OU09vwQwhkpOPPYv2Y/edit?usp=sharing"",""งบพรบ!IU20"")"),0)</f>
        <v>0</v>
      </c>
      <c r="N421" s="224">
        <f ca="1">IFERROR(__xludf.DUMMYFUNCTION("IMPORTRANGE(""https://docs.google.com/spreadsheets/d/1-uDff_7J0KD5mKrp0Vvzr7lt3OU09vwQwhkpOPPYv2Y/edit?usp=sharing"",""งบพรบ!IW20"")"),0)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31466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IFERROR(__xludf.DUMMYFUNCTION("IMPORTRANGE(""https://docs.google.com/spreadsheets/d/1eHaY18a8A9IcSdp1K8H6x8fbOy06t2VsZHhMHf-1x7Y/edit?usp=sharing"",""แผน!HJ20"")"),31466)</f>
        <v>31466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IFERROR(__xludf.DUMMYFUNCTION("IMPORTRANGE(""https://docs.google.com/spreadsheets/d/1eHaY18a8A9IcSdp1K8H6x8fbOy06t2VsZHhMHf-1x7Y/edit?usp=sharing"",""แผน!HK20"")"),6900)</f>
        <v>6900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IFERROR(__xludf.DUMMYFUNCTION("IMPORTRANGE(""https://docs.google.com/spreadsheets/d/1eHaY18a8A9IcSdp1K8H6x8fbOy06t2VsZHhMHf-1x7Y/edit?usp=sharing"",""แผน!HJ20"")"),31466)</f>
        <v>31466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IFERROR(__xludf.DUMMYFUNCTION("IMPORTRANGE(""https://docs.google.com/spreadsheets/d/1eHaY18a8A9IcSdp1K8H6x8fbOy06t2VsZHhMHf-1x7Y/edit?usp=sharing"",""แผน!HK20"")"),6900)</f>
        <v>6900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IFERROR(__xludf.DUMMYFUNCTION("IMPORTRANGE(""https://docs.google.com/spreadsheets/d/1eHaY18a8A9IcSdp1K8H6x8fbOy06t2VsZHhMHf-1x7Y/edit?usp=sharing"",""แผน!HJ20"")"),31466)</f>
        <v>31466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IFERROR(__xludf.DUMMYFUNCTION("IMPORTRANGE(""https://docs.google.com/spreadsheets/d/1eHaY18a8A9IcSdp1K8H6x8fbOy06t2VsZHhMHf-1x7Y/edit?usp=sharing"",""แผน!HK20"")"),6900)</f>
        <v>6900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1256.31</v>
      </c>
      <c r="J456" s="648">
        <f>J457</f>
        <v>0</v>
      </c>
      <c r="K456" s="578">
        <f ca="1">IF(I456&gt;0,J456*100/I456,0)</f>
        <v>0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IFERROR(__xludf.DUMMYFUNCTION("IMPORTRANGE(""https://docs.google.com/spreadsheets/d/1eHaY18a8A9IcSdp1K8H6x8fbOy06t2VsZHhMHf-1x7Y/edit?usp=sharing"",""แผน!HL20"")"),1256.31)</f>
        <v>1256.31</v>
      </c>
      <c r="J457" s="650">
        <f>J459+J467+J473</f>
        <v>0</v>
      </c>
      <c r="K457" s="547">
        <f ca="1">IF(I457&gt;0,J457*100/I457,0)</f>
        <v>0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IFERROR(__xludf.DUMMYFUNCTION("IMPORTRANGE(""https://docs.google.com/spreadsheets/d/1eHaY18a8A9IcSdp1K8H6x8fbOy06t2VsZHhMHf-1x7Y/edit?usp=sharing"",""แผน!HM20"")"),201)</f>
        <v>201</v>
      </c>
      <c r="J458" s="650">
        <f>J460+J468+J474</f>
        <v>0</v>
      </c>
      <c r="K458" s="547">
        <f ca="1">IF(I458&gt;0,J458*100/I458,0)</f>
        <v>0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0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0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0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0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0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0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0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0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0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0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0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0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v>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v>0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817">
        <f ca="1">IFERROR(__xludf.DUMMYFUNCTION("IMPORTRANGE(""https://docs.google.com/spreadsheets/d/1eHaY18a8A9IcSdp1K8H6x8fbOy06t2VsZHhMHf-1x7Y/edit?usp=sharing"",""แผน!HO20"")"),68)</f>
        <v>68</v>
      </c>
      <c r="J484" s="638">
        <f>J486+J488+J490</f>
        <v>0</v>
      </c>
      <c r="K484" s="637">
        <f ca="1"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817">
        <f ca="1">IFERROR(__xludf.DUMMYFUNCTION("IMPORTRANGE(""https://docs.google.com/spreadsheets/d/1eHaY18a8A9IcSdp1K8H6x8fbOy06t2VsZHhMHf-1x7Y/edit?usp=sharing"",""แผน!HN20"")"),12)</f>
        <v>12</v>
      </c>
      <c r="J485" s="638">
        <f>J487+J489+J491</f>
        <v>0</v>
      </c>
      <c r="K485" s="637">
        <f ca="1"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IFERROR(__xludf.DUMMYFUNCTION("IMPORTRANGE(""https://docs.google.com/spreadsheets/d/1-uDff_7J0KD5mKrp0Vvzr7lt3OU09vwQwhkpOPPYv2Y/edit?usp=sharing"",""งบพรบ!HU20"")"),0)</f>
        <v>0</v>
      </c>
      <c r="M498" s="224">
        <f ca="1">IFERROR(__xludf.DUMMYFUNCTION("IMPORTRANGE(""https://docs.google.com/spreadsheets/d/1-uDff_7J0KD5mKrp0Vvzr7lt3OU09vwQwhkpOPPYv2Y/edit?usp=sharing"",""งบพรบ!HZ20"")"),0)</f>
        <v>0</v>
      </c>
      <c r="N498" s="224">
        <f ca="1">IFERROR(__xludf.DUMMYFUNCTION("IMPORTRANGE(""https://docs.google.com/spreadsheets/d/1-uDff_7J0KD5mKrp0Vvzr7lt3OU09vwQwhkpOPPYv2Y/edit?usp=sharing"",""งบพรบ!IB20"")"),0)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IFERROR(__xludf.DUMMYFUNCTION("IMPORTRANGE(""https://docs.google.com/spreadsheets/d/1ItG2mGa2ceCfYo0BwxsXqNm01IGEUdYcSSLTEv9YCik/edit?usp=sharing"",""เบิกจ่ายกองทุน!AD20"")"),0)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IFERROR(__xludf.DUMMYFUNCTION("IMPORTRANGE(""https://docs.google.com/spreadsheets/d/1ItG2mGa2ceCfYo0BwxsXqNm01IGEUdYcSSLTEv9YCik/edit?usp=sharing"",""เบิกจ่ายกองทุน!AE20"")"),0)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IFERROR(__xludf.DUMMYFUNCTION("IMPORTRANGE(""https://docs.google.com/spreadsheets/d/1ItG2mGa2ceCfYo0BwxsXqNm01IGEUdYcSSLTEv9YCik/edit?usp=sharing"",""เบิกจ่ายกองทุน!AF20"")"),0)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IFERROR(__xludf.DUMMYFUNCTION("IMPORTRANGE(""https://docs.google.com/spreadsheets/d/1-uDff_7J0KD5mKrp0Vvzr7lt3OU09vwQwhkpOPPYv2Y/edit?usp=sharing"",""งบพรบ!HX20"")"),0)</f>
        <v>0</v>
      </c>
      <c r="M501" s="224">
        <f ca="1">IFERROR(__xludf.DUMMYFUNCTION("IMPORTRANGE(""https://docs.google.com/spreadsheets/d/1-uDff_7J0KD5mKrp0Vvzr7lt3OU09vwQwhkpOPPYv2Y/edit?usp=sharing"",""งบพรบ!IA20"")"),0)</f>
        <v>0</v>
      </c>
      <c r="N501" s="224">
        <f ca="1">IFERROR(__xludf.DUMMYFUNCTION("IMPORTRANGE(""https://docs.google.com/spreadsheets/d/1-uDff_7J0KD5mKrp0Vvzr7lt3OU09vwQwhkpOPPYv2Y/edit?usp=sharing"",""งบพรบ!IC20"")"),0)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IFERROR(__xludf.DUMMYFUNCTION("IMPORTRANGE(""https://docs.google.com/spreadsheets/d/1eHaY18a8A9IcSdp1K8H6x8fbOy06t2VsZHhMHf-1x7Y/edit?usp=sharing"",""แผน!GX20"")"),0)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IFERROR(__xludf.DUMMYFUNCTION("IMPORTRANGE(""https://docs.google.com/spreadsheets/d/1eHaY18a8A9IcSdp1K8H6x8fbOy06t2VsZHhMHf-1x7Y/edit?usp=sharing"",""แผน!GY20"")"),0)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IFERROR(__xludf.DUMMYFUNCTION("IMPORTRANGE(""https://docs.google.com/spreadsheets/d/1eHaY18a8A9IcSdp1K8H6x8fbOy06t2VsZHhMHf-1x7Y/edit?usp=sharing"",""แผน!GZ20"")"),0)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IFERROR(__xludf.DUMMYFUNCTION("IMPORTRANGE(""https://docs.google.com/spreadsheets/d/1eHaY18a8A9IcSdp1K8H6x8fbOy06t2VsZHhMHf-1x7Y/edit?usp=sharing"",""แผน!HA20"")"),0)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IFERROR(__xludf.DUMMYFUNCTION("IMPORTRANGE(""https://docs.google.com/spreadsheets/d/1eHaY18a8A9IcSdp1K8H6x8fbOy06t2VsZHhMHf-1x7Y/edit?usp=sharing"",""แผน!HB20"")"),0)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IFERROR(__xludf.DUMMYFUNCTION("IMPORTRANGE(""https://docs.google.com/spreadsheets/d/1eHaY18a8A9IcSdp1K8H6x8fbOy06t2VsZHhMHf-1x7Y/edit?usp=sharing"",""แผน!HC20"")"),0)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869" t="s">
        <v>209</v>
      </c>
      <c r="B510" s="868"/>
      <c r="C510" s="868"/>
      <c r="D510" s="868"/>
      <c r="E510" s="867"/>
      <c r="F510" s="867"/>
      <c r="G510" s="867"/>
      <c r="H510" s="867"/>
      <c r="I510" s="866"/>
      <c r="J510" s="866"/>
      <c r="K510" s="865"/>
      <c r="L510" s="864"/>
      <c r="M510" s="863"/>
      <c r="N510" s="863"/>
      <c r="O510" s="863"/>
      <c r="P510" s="863"/>
      <c r="Q510" s="863"/>
      <c r="R510" s="863"/>
      <c r="S510" s="863"/>
      <c r="T510" s="863"/>
      <c r="U510" s="863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IFERROR(__xludf.DUMMYFUNCTION("IMPORTRANGE(""https://docs.google.com/spreadsheets/d/1-uDff_7J0KD5mKrp0Vvzr7lt3OU09vwQwhkpOPPYv2Y/edit?usp=sharing"",""งบพรบ!FM20"")"),0)</f>
        <v>0</v>
      </c>
      <c r="M518" s="224">
        <f ca="1">IFERROR(__xludf.DUMMYFUNCTION("IMPORTRANGE(""https://docs.google.com/spreadsheets/d/1-uDff_7J0KD5mKrp0Vvzr7lt3OU09vwQwhkpOPPYv2Y/edit?usp=sharing"",""งบพรบ!FR20"")"),0)</f>
        <v>0</v>
      </c>
      <c r="N518" s="224">
        <f ca="1">IFERROR(__xludf.DUMMYFUNCTION("IMPORTRANGE(""https://docs.google.com/spreadsheets/d/1-uDff_7J0KD5mKrp0Vvzr7lt3OU09vwQwhkpOPPYv2Y/edit?usp=sharing"",""งบพรบ!FT20"")"),0)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IFERROR(__xludf.DUMMYFUNCTION("IMPORTRANGE(""https://docs.google.com/spreadsheets/d/1-uDff_7J0KD5mKrp0Vvzr7lt3OU09vwQwhkpOPPYv2Y/edit?usp=sharing"",""งบพรบ!FP20"")"),0)</f>
        <v>0</v>
      </c>
      <c r="M521" s="224">
        <f ca="1">IFERROR(__xludf.DUMMYFUNCTION("IMPORTRANGE(""https://docs.google.com/spreadsheets/d/1-uDff_7J0KD5mKrp0Vvzr7lt3OU09vwQwhkpOPPYv2Y/edit?usp=sharing"",""งบพรบ!FS20"")"),0)</f>
        <v>0</v>
      </c>
      <c r="N521" s="224">
        <f ca="1">IFERROR(__xludf.DUMMYFUNCTION("IMPORTRANGE(""https://docs.google.com/spreadsheets/d/1-uDff_7J0KD5mKrp0Vvzr7lt3OU09vwQwhkpOPPYv2Y/edit?usp=sharing"",""งบพรบ!FU20"")"),0)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IFERROR(__xludf.DUMMYFUNCTION("IMPORTRANGE(""https://docs.google.com/spreadsheets/d/1-uDff_7J0KD5mKrp0Vvzr7lt3OU09vwQwhkpOPPYv2Y/edit?usp=sharing"",""งบพรบ!FW20"")"),0)</f>
        <v>0</v>
      </c>
      <c r="M539" s="224">
        <f ca="1">IFERROR(__xludf.DUMMYFUNCTION("IMPORTRANGE(""https://docs.google.com/spreadsheets/d/1-uDff_7J0KD5mKrp0Vvzr7lt3OU09vwQwhkpOPPYv2Y/edit?usp=sharing"",""งบพรบ!GB20"")"),0)</f>
        <v>0</v>
      </c>
      <c r="N539" s="224">
        <f ca="1">IFERROR(__xludf.DUMMYFUNCTION("IMPORTRANGE(""https://docs.google.com/spreadsheets/d/1-uDff_7J0KD5mKrp0Vvzr7lt3OU09vwQwhkpOPPYv2Y/edit?usp=sharing"",""งบพรบ!GD20"")"),0)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IFERROR(__xludf.DUMMYFUNCTION("IMPORTRANGE(""https://docs.google.com/spreadsheets/d/1-uDff_7J0KD5mKrp0Vvzr7lt3OU09vwQwhkpOPPYv2Y/edit?usp=sharing"",""งบพรบ!FZ20"")"),0)</f>
        <v>0</v>
      </c>
      <c r="M542" s="224">
        <f ca="1">IFERROR(__xludf.DUMMYFUNCTION("IMPORTRANGE(""https://docs.google.com/spreadsheets/d/1-uDff_7J0KD5mKrp0Vvzr7lt3OU09vwQwhkpOPPYv2Y/edit?usp=sharing"",""งบพรบ!GC20"")"),0)</f>
        <v>0</v>
      </c>
      <c r="N542" s="224">
        <f ca="1">IFERROR(__xludf.DUMMYFUNCTION("IMPORTRANGE(""https://docs.google.com/spreadsheets/d/1-uDff_7J0KD5mKrp0Vvzr7lt3OU09vwQwhkpOPPYv2Y/edit?usp=sharing"",""งบพรบ!GE20"")"),0)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365">
        <f>I565</f>
        <v>5</v>
      </c>
      <c r="J554" s="365">
        <f>J565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x14ac:dyDescent="0.3">
      <c r="A555" s="128"/>
      <c r="B555" s="40"/>
      <c r="C555" s="374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1304000</v>
      </c>
      <c r="M555" s="547">
        <f ca="1">M556+M557</f>
        <v>1304000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1304000</v>
      </c>
      <c r="M557" s="224">
        <f ca="1">M560+M563</f>
        <v>1304000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IFERROR(__xludf.DUMMYFUNCTION("IMPORTRANGE(""https://docs.google.com/spreadsheets/d/1-uDff_7J0KD5mKrp0Vvzr7lt3OU09vwQwhkpOPPYv2Y/edit?usp=sharing"",""งบพรบ!GG20"")"),0)</f>
        <v>0</v>
      </c>
      <c r="M560" s="224">
        <f ca="1">IFERROR(__xludf.DUMMYFUNCTION("IMPORTRANGE(""https://docs.google.com/spreadsheets/d/1-uDff_7J0KD5mKrp0Vvzr7lt3OU09vwQwhkpOPPYv2Y/edit?usp=sharing"",""งบพรบ!GL20"")"),0)</f>
        <v>0</v>
      </c>
      <c r="N560" s="224">
        <f ca="1">IFERROR(__xludf.DUMMYFUNCTION("IMPORTRANGE(""https://docs.google.com/spreadsheets/d/1-uDff_7J0KD5mKrp0Vvzr7lt3OU09vwQwhkpOPPYv2Y/edit?usp=sharing"",""งบพรบ!GN20"")"),0)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1304000</v>
      </c>
      <c r="M561" s="224">
        <f ca="1">M562+M563</f>
        <v>1304000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IFERROR(__xludf.DUMMYFUNCTION("IMPORTRANGE(""https://docs.google.com/spreadsheets/d/1-uDff_7J0KD5mKrp0Vvzr7lt3OU09vwQwhkpOPPYv2Y/edit?usp=sharing"",""งบพรบ!GJ20"")"),1304000)</f>
        <v>1304000</v>
      </c>
      <c r="M563" s="224">
        <f ca="1">IFERROR(__xludf.DUMMYFUNCTION("IMPORTRANGE(""https://docs.google.com/spreadsheets/d/1-uDff_7J0KD5mKrp0Vvzr7lt3OU09vwQwhkpOPPYv2Y/edit?usp=sharing"",""งบพรบ!GM20"")"),1304000)</f>
        <v>1304000</v>
      </c>
      <c r="N563" s="224">
        <f ca="1">IFERROR(__xludf.DUMMYFUNCTION("IMPORTRANGE(""https://docs.google.com/spreadsheets/d/1-uDff_7J0KD5mKrp0Vvzr7lt3OU09vwQwhkpOPPYv2Y/edit?usp=sharing"",""งบพรบ!GO20"")"),0)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8.75" x14ac:dyDescent="0.25">
      <c r="A565" s="208"/>
      <c r="B565" s="40"/>
      <c r="C565" s="158"/>
      <c r="D565" s="874" t="s">
        <v>216</v>
      </c>
      <c r="E565" s="158"/>
      <c r="F565" s="40"/>
      <c r="G565" s="42"/>
      <c r="H565" s="133" t="s">
        <v>14</v>
      </c>
      <c r="I565" s="166">
        <v>5</v>
      </c>
      <c r="J565" s="167">
        <v>0</v>
      </c>
      <c r="K565" s="46">
        <f>IF(I565&gt;0,J565*100/I565,0)</f>
        <v>0</v>
      </c>
      <c r="L565" s="543"/>
      <c r="M565" s="45"/>
      <c r="N565" s="45"/>
      <c r="O565" s="45"/>
      <c r="P565" s="45"/>
      <c r="Q565" s="45"/>
      <c r="R565" s="45"/>
      <c r="S565" s="45"/>
      <c r="T565" s="45"/>
      <c r="U565" s="45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365">
        <f>I587</f>
        <v>7</v>
      </c>
      <c r="J575" s="365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x14ac:dyDescent="0.3">
      <c r="A576" s="128"/>
      <c r="B576" s="40"/>
      <c r="C576" s="374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425244</v>
      </c>
      <c r="M576" s="547">
        <f ca="1">M577+M578</f>
        <v>425244</v>
      </c>
      <c r="N576" s="547">
        <f ca="1">N577+N578</f>
        <v>127851</v>
      </c>
      <c r="O576" s="547">
        <f ca="1">IF(L576&gt;0,N576*100/L576,0)</f>
        <v>30.065327200383781</v>
      </c>
      <c r="P576" s="547">
        <f ca="1">IF(M576&gt;0,N576*100/M576,0)</f>
        <v>30.065327200383781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425244</v>
      </c>
      <c r="M578" s="224">
        <f ca="1">M581+M584</f>
        <v>425244</v>
      </c>
      <c r="N578" s="224">
        <f ca="1">N581+N584</f>
        <v>127851</v>
      </c>
      <c r="O578" s="224">
        <f ca="1">IF(L578&gt;0,N578*100/L578,0)</f>
        <v>30.065327200383781</v>
      </c>
      <c r="P578" s="224">
        <f ca="1">IF(M578&gt;0,N578*100/M578,0)</f>
        <v>30.065327200383781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425244</v>
      </c>
      <c r="M579" s="224">
        <f ca="1">M580+M581</f>
        <v>425244</v>
      </c>
      <c r="N579" s="224">
        <f ca="1">N580+N581</f>
        <v>127851</v>
      </c>
      <c r="O579" s="224">
        <f ca="1">IF(L579&gt;0,N579*100/L579,0)</f>
        <v>30.065327200383781</v>
      </c>
      <c r="P579" s="224">
        <f ca="1">IF(M579&gt;0,N579*100/M579,0)</f>
        <v>30.065327200383781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IFERROR(__xludf.DUMMYFUNCTION("IMPORTRANGE(""https://docs.google.com/spreadsheets/d/1-uDff_7J0KD5mKrp0Vvzr7lt3OU09vwQwhkpOPPYv2Y/edit?usp=sharing"",""งบพรบ!GQ20"")"),425244)</f>
        <v>425244</v>
      </c>
      <c r="M581" s="224">
        <f ca="1">IFERROR(__xludf.DUMMYFUNCTION("IMPORTRANGE(""https://docs.google.com/spreadsheets/d/1-uDff_7J0KD5mKrp0Vvzr7lt3OU09vwQwhkpOPPYv2Y/edit?usp=sharing"",""งบพรบ!GV20"")"),425244)</f>
        <v>425244</v>
      </c>
      <c r="N581" s="224">
        <f ca="1">IFERROR(__xludf.DUMMYFUNCTION("IMPORTRANGE(""https://docs.google.com/spreadsheets/d/1-uDff_7J0KD5mKrp0Vvzr7lt3OU09vwQwhkpOPPYv2Y/edit?usp=sharing"",""งบพรบ!GX20"")"),127851)</f>
        <v>127851</v>
      </c>
      <c r="O581" s="224">
        <f ca="1">IF(L581&gt;0,N581*100/L581,0)</f>
        <v>30.065327200383781</v>
      </c>
      <c r="P581" s="224">
        <f ca="1">IF(M581&gt;0,N581*100/M581,0)</f>
        <v>30.065327200383781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IFERROR(__xludf.DUMMYFUNCTION("IMPORTRANGE(""https://docs.google.com/spreadsheets/d/1-uDff_7J0KD5mKrp0Vvzr7lt3OU09vwQwhkpOPPYv2Y/edit?usp=sharing"",""งบพรบ!GT20"")"),0)</f>
        <v>0</v>
      </c>
      <c r="M584" s="224">
        <f ca="1">IFERROR(__xludf.DUMMYFUNCTION("IMPORTRANGE(""https://docs.google.com/spreadsheets/d/1-uDff_7J0KD5mKrp0Vvzr7lt3OU09vwQwhkpOPPYv2Y/edit?usp=sharing"",""งบพรบ!GW20"")"),0)</f>
        <v>0</v>
      </c>
      <c r="N584" s="224">
        <f ca="1">IFERROR(__xludf.DUMMYFUNCTION("IMPORTRANGE(""https://docs.google.com/spreadsheets/d/1-uDff_7J0KD5mKrp0Vvzr7lt3OU09vwQwhkpOPPYv2Y/edit?usp=sharing"",""งบพรบ!GY20"")"),0)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8.75" x14ac:dyDescent="0.25">
      <c r="A586" s="306"/>
      <c r="B586" s="307"/>
      <c r="C586" s="308"/>
      <c r="D586" s="378" t="s">
        <v>218</v>
      </c>
      <c r="E586" s="308"/>
      <c r="F586" s="307"/>
      <c r="G586" s="310"/>
      <c r="H586" s="379" t="s">
        <v>79</v>
      </c>
      <c r="I586" s="313">
        <v>2</v>
      </c>
      <c r="J586" s="377">
        <v>0</v>
      </c>
      <c r="K586" s="376">
        <f>IF(I586&gt;0,J586*100/I586,0)</f>
        <v>0</v>
      </c>
      <c r="L586" s="314"/>
      <c r="M586" s="314"/>
      <c r="N586" s="314"/>
      <c r="O586" s="314"/>
      <c r="P586" s="314"/>
      <c r="Q586" s="314"/>
      <c r="R586" s="314"/>
      <c r="S586" s="314"/>
      <c r="T586" s="314"/>
      <c r="U586" s="314"/>
    </row>
    <row r="587" spans="1:21" ht="18.75" x14ac:dyDescent="0.25">
      <c r="A587" s="208"/>
      <c r="B587" s="40"/>
      <c r="C587" s="158"/>
      <c r="D587" s="47" t="s">
        <v>219</v>
      </c>
      <c r="E587" s="158"/>
      <c r="F587" s="40"/>
      <c r="G587" s="42"/>
      <c r="H587" s="43" t="s">
        <v>61</v>
      </c>
      <c r="I587" s="184">
        <v>7</v>
      </c>
      <c r="J587" s="380">
        <v>0</v>
      </c>
      <c r="K587" s="224">
        <f>IF(I587&gt;0,J587*100/I587,0)</f>
        <v>0</v>
      </c>
      <c r="L587" s="45"/>
      <c r="M587" s="45"/>
      <c r="N587" s="45"/>
      <c r="O587" s="45"/>
      <c r="P587" s="45"/>
      <c r="Q587" s="45"/>
      <c r="R587" s="45"/>
      <c r="S587" s="45"/>
      <c r="T587" s="45"/>
      <c r="U587" s="45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IFERROR(__xludf.DUMMYFUNCTION("IMPORTRANGE(""https://docs.google.com/spreadsheets/d/1-uDff_7J0KD5mKrp0Vvzr7lt3OU09vwQwhkpOPPYv2Y/edit?usp=sharing"",""งบพรบ!HK20"")"),0)</f>
        <v>0</v>
      </c>
      <c r="M604" s="224">
        <f ca="1">IFERROR(__xludf.DUMMYFUNCTION("IMPORTRANGE(""https://docs.google.com/spreadsheets/d/1-uDff_7J0KD5mKrp0Vvzr7lt3OU09vwQwhkpOPPYv2Y/edit?usp=sharing"",""งบพรบ!HP20"")"),0)</f>
        <v>0</v>
      </c>
      <c r="N604" s="224">
        <f ca="1">IFERROR(__xludf.DUMMYFUNCTION("IMPORTRANGE(""https://docs.google.com/spreadsheets/d/1-uDff_7J0KD5mKrp0Vvzr7lt3OU09vwQwhkpOPPYv2Y/edit?usp=sharing"",""งบพรบ!HR20"")"),0)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IFERROR(__xludf.DUMMYFUNCTION("IMPORTRANGE(""https://docs.google.com/spreadsheets/d/1ItG2mGa2ceCfYo0BwxsXqNm01IGEUdYcSSLTEv9YCik/edit?usp=sharing"",""เบิกจ่ายกองทุน!AV20"")"),0)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IFERROR(__xludf.DUMMYFUNCTION("IMPORTRANGE(""https://docs.google.com/spreadsheets/d/1ItG2mGa2ceCfYo0BwxsXqNm01IGEUdYcSSLTEv9YCik/edit?usp=sharing"",""เบิกจ่ายกองทุน!AW20"")"),0)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IFERROR(__xludf.DUMMYFUNCTION("IMPORTRANGE(""https://docs.google.com/spreadsheets/d/1ItG2mGa2ceCfYo0BwxsXqNm01IGEUdYcSSLTEv9YCik/edit?usp=sharing"",""เบิกจ่ายกองทุน!AX20"")"),0)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IFERROR(__xludf.DUMMYFUNCTION("IMPORTRANGE(""https://docs.google.com/spreadsheets/d/1-uDff_7J0KD5mKrp0Vvzr7lt3OU09vwQwhkpOPPYv2Y/edit?usp=sharing"",""งบพรบ!HN20"")"),0)</f>
        <v>0</v>
      </c>
      <c r="M607" s="224">
        <f ca="1">IFERROR(__xludf.DUMMYFUNCTION("IMPORTRANGE(""https://docs.google.com/spreadsheets/d/1-uDff_7J0KD5mKrp0Vvzr7lt3OU09vwQwhkpOPPYv2Y/edit?usp=sharing"",""งบพรบ!HQ20"")"),0)</f>
        <v>0</v>
      </c>
      <c r="N607" s="224">
        <f ca="1">IFERROR(__xludf.DUMMYFUNCTION("IMPORTRANGE(""https://docs.google.com/spreadsheets/d/1-uDff_7J0KD5mKrp0Vvzr7lt3OU09vwQwhkpOPPYv2Y/edit?usp=sharing"",""งบพรบ!HS20"")"),0)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IFERROR(__xludf.DUMMYFUNCTION("IMPORTRANGE(""https://docs.google.com/spreadsheets/d/1ItG2mGa2ceCfYo0BwxsXqNm01IGEUdYcSSLTEv9YCik/edit?usp=sharing"",""เบิกจ่ายกองทุน!AY20"")"),0)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IFERROR(__xludf.DUMMYFUNCTION("IMPORTRANGE(""https://docs.google.com/spreadsheets/d/1ItG2mGa2ceCfYo0BwxsXqNm01IGEUdYcSSLTEv9YCik/edit?usp=sharing"",""เบิกจ่ายกองทุน!AZ20"")"),0)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IFERROR(__xludf.DUMMYFUNCTION("IMPORTRANGE(""https://docs.google.com/spreadsheets/d/1ItG2mGa2ceCfYo0BwxsXqNm01IGEUdYcSSLTEv9YCik/edit?usp=sharing"",""เบิกจ่ายกองทุน!BA20"")"),0)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50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6725</v>
      </c>
      <c r="R616" s="547">
        <f ca="1">R617+R618</f>
        <v>6725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IFERROR(__xludf.DUMMYFUNCTION("IMPORTRANGE(""https://docs.google.com/spreadsheets/d/1ItG2mGa2ceCfYo0BwxsXqNm01IGEUdYcSSLTEv9YCik/edit?usp=sharing"",""เบิกจ่ายกองทุน!F20"")"),6725)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IFERROR(__xludf.DUMMYFUNCTION("IMPORTRANGE(""https://docs.google.com/spreadsheets/d/1ItG2mGa2ceCfYo0BwxsXqNm01IGEUdYcSSLTEv9YCik/edit?usp=sharing"",""เบิกจ่ายกองทุน!G20"")"),6725)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IFERROR(__xludf.DUMMYFUNCTION("IMPORTRANGE(""https://docs.google.com/spreadsheets/d/1ItG2mGa2ceCfYo0BwxsXqNm01IGEUdYcSSLTEv9YCik/edit?usp=sharing"",""เบิกจ่ายกองทุน!H20"")"),0)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374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IFERROR(__xludf.DUMMYFUNCTION("IMPORTRANGE(""https://docs.google.com/spreadsheets/d/1eHaY18a8A9IcSdp1K8H6x8fbOy06t2VsZHhMHf-1x7Y/edit?usp=sharing"",""แผน!ID20"")"),50)</f>
        <v>50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IFERROR(__xludf.DUMMYFUNCTION("IMPORTRANGE(""https://docs.google.com/spreadsheets/d/1eHaY18a8A9IcSdp1K8H6x8fbOy06t2VsZHhMHf-1x7Y/edit?usp=sharing"",""แผน!IC20"")"),0)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IFERROR(__xludf.DUMMYFUNCTION("IMPORTRANGE(""https://docs.google.com/spreadsheets/d/1eHaY18a8A9IcSdp1K8H6x8fbOy06t2VsZHhMHf-1x7Y/edit?usp=sharing"",""แผน!IC20"")"),0)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IFERROR(__xludf.DUMMYFUNCTION("IMPORTRANGE(""https://docs.google.com/spreadsheets/d/1eHaY18a8A9IcSdp1K8H6x8fbOy06t2VsZHhMHf-1x7Y/edit?usp=sharing"",""แผน!IE20"")"),0)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330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5900</v>
      </c>
      <c r="R642" s="547">
        <f ca="1">R643+R644</f>
        <v>5900</v>
      </c>
      <c r="S642" s="547">
        <f ca="1">S643+S644</f>
        <v>0</v>
      </c>
      <c r="T642" s="547">
        <f ca="1">IF(Q642&gt;0,S642*100/Q642,0)</f>
        <v>0</v>
      </c>
      <c r="U642" s="547">
        <f ca="1">IF(R642&gt;0,S642*100/R642,0)</f>
        <v>0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5900</v>
      </c>
      <c r="R644" s="224">
        <f ca="1">R647+R650</f>
        <v>5900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5900</v>
      </c>
      <c r="R645" s="224">
        <f ca="1">R646+R647</f>
        <v>5900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IFERROR(__xludf.DUMMYFUNCTION("IMPORTRANGE(""https://docs.google.com/spreadsheets/d/1ItG2mGa2ceCfYo0BwxsXqNm01IGEUdYcSSLTEv9YCik/edit?usp=sharing"",""เบิกจ่ายกองทุน!I20"")"),5900)</f>
        <v>5900</v>
      </c>
      <c r="R647" s="224">
        <f ca="1">IFERROR(__xludf.DUMMYFUNCTION("IMPORTRANGE(""https://docs.google.com/spreadsheets/d/1ItG2mGa2ceCfYo0BwxsXqNm01IGEUdYcSSLTEv9YCik/edit?usp=sharing"",""เบิกจ่ายกองทุน!J20"")"),5900)</f>
        <v>5900</v>
      </c>
      <c r="S647" s="224">
        <f ca="1">IFERROR(__xludf.DUMMYFUNCTION("IMPORTRANGE(""https://docs.google.com/spreadsheets/d/1ItG2mGa2ceCfYo0BwxsXqNm01IGEUdYcSSLTEv9YCik/edit?usp=sharing"",""เบิกจ่ายกองทุน!K20"")"),0)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IFERROR(__xludf.DUMMYFUNCTION("IMPORTRANGE(""https://docs.google.com/spreadsheets/d/1eHaY18a8A9IcSdp1K8H6x8fbOy06t2VsZHhMHf-1x7Y/edit?usp=sharing"",""แผน!IF20"")"),0)</f>
        <v>0</v>
      </c>
      <c r="J652" s="184">
        <f ca="1">IFERROR(__xludf.DUMMYFUNCTION("IMPORTRANGE(""https://docs.google.com/spreadsheets/d/1tdoBKaGub7dwA3U6UFTqxio9LNnvDCQjHKmttSEBsFQ/edit?usp=sharing"",""จัดที่ดิน!AU20"")"),0)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IFERROR(__xludf.DUMMYFUNCTION("IMPORTRANGE(""https://docs.google.com/spreadsheets/d/1eHaY18a8A9IcSdp1K8H6x8fbOy06t2VsZHhMHf-1x7Y/edit?usp=sharing"",""แผน!IG20"")"),20)</f>
        <v>20</v>
      </c>
      <c r="J653" s="184">
        <f ca="1">IFERROR(__xludf.DUMMYFUNCTION("IMPORTRANGE(""https://docs.google.com/spreadsheets/d/1tdoBKaGub7dwA3U6UFTqxio9LNnvDCQjHKmttSEBsFQ/edit?usp=sharing"",""จัดที่ดิน!AW20"")"),0)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IFERROR(__xludf.DUMMYFUNCTION("IMPORTRANGE(""https://docs.google.com/spreadsheets/d/1eHaY18a8A9IcSdp1K8H6x8fbOy06t2VsZHhMHf-1x7Y/edit?usp=sharing"",""แผน!IH20"")"),125)</f>
        <v>125</v>
      </c>
      <c r="J654" s="338">
        <f>J657+J660</f>
        <v>200.28</v>
      </c>
      <c r="K654" s="547">
        <f ca="1">IF(I654&gt;0,J654*100/I654,0)</f>
        <v>160.22399999999999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39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39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IFERROR(__xludf.DUMMYFUNCTION("IMPORTRANGE(""https://docs.google.com/spreadsheets/d/1eHaY18a8A9IcSdp1K8H6x8fbOy06t2VsZHhMHf-1x7Y/edit?usp=sharing"",""แผน!II20"")"),125)</f>
        <v>125</v>
      </c>
      <c r="J657" s="380">
        <v>200.28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0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0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IFERROR(__xludf.DUMMYFUNCTION("IMPORTRANGE(""https://docs.google.com/spreadsheets/d/1eHaY18a8A9IcSdp1K8H6x8fbOy06t2VsZHhMHf-1x7Y/edit?usp=sharing"",""แผน!IJ20"")"),0)</f>
        <v>0</v>
      </c>
      <c r="J660" s="380">
        <v>0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hidden="1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IFERROR(__xludf.DUMMYFUNCTION("IMPORTRANGE(""https://docs.google.com/spreadsheets/d/1eHaY18a8A9IcSdp1K8H6x8fbOy06t2VsZHhMHf-1x7Y/edit?usp=sharing"",""แผน!IK20"")"),0)</f>
        <v>0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hidden="1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hidden="1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hidden="1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hidden="1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hidden="1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hidden="1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hidden="1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hidden="1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hidden="1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hidden="1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IFERROR(__xludf.DUMMYFUNCTION("IMPORTRANGE(""https://docs.google.com/spreadsheets/d/1tdoBKaGub7dwA3U6UFTqxio9LNnvDCQjHKmttSEBsFQ/edit?usp=sharing"",""จัดที่ดิน!AY20"")"),0)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hidden="1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IFERROR(__xludf.DUMMYFUNCTION("IMPORTRANGE(""https://docs.google.com/spreadsheets/d/1tdoBKaGub7dwA3U6UFTqxio9LNnvDCQjHKmttSEBsFQ/edit?usp=sharing"",""จัดที่ดิน!AZ20"")"),0)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hidden="1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IFERROR(__xludf.DUMMYFUNCTION("IMPORTRANGE(""https://docs.google.com/spreadsheets/d/1eHaY18a8A9IcSdp1K8H6x8fbOy06t2VsZHhMHf-1x7Y/edit?usp=sharing"",""แผน!IL20"")"),0)</f>
        <v>0</v>
      </c>
      <c r="J673" s="184">
        <f ca="1">IFERROR(__xludf.DUMMYFUNCTION("IMPORTRANGE(""https://docs.google.com/spreadsheets/d/1tdoBKaGub7dwA3U6UFTqxio9LNnvDCQjHKmttSEBsFQ/edit?usp=sharing"",""จัดที่ดิน!BA20"")"),0)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hidden="1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IFERROR(__xludf.DUMMYFUNCTION("IMPORTRANGE(""https://docs.google.com/spreadsheets/d/1eHaY18a8A9IcSdp1K8H6x8fbOy06t2VsZHhMHf-1x7Y/edit?usp=sharing"",""แผน!IM20"")"),0)</f>
        <v>0</v>
      </c>
      <c r="J674" s="338">
        <f ca="1">J676+J679</f>
        <v>0</v>
      </c>
      <c r="K674" s="547">
        <f ca="1">IF(I674&gt;0,J674*100/I674,0)</f>
        <v>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hidden="1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IFERROR(__xludf.DUMMYFUNCTION("IMPORTRANGE(""https://docs.google.com/spreadsheets/d/1eHaY18a8A9IcSdp1K8H6x8fbOy06t2VsZHhMHf-1x7Y/edit?usp=sharing"",""แผน!IN20"")"),0)</f>
        <v>0</v>
      </c>
      <c r="J675" s="338">
        <f ca="1">J678+J681</f>
        <v>0</v>
      </c>
      <c r="K675" s="547">
        <f ca="1">IF(I675&gt;0,J675*100/I675,0)</f>
        <v>0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hidden="1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IFERROR(__xludf.DUMMYFUNCTION("IMPORTRANGE(""https://docs.google.com/spreadsheets/d/1eHaY18a8A9IcSdp1K8H6x8fbOy06t2VsZHhMHf-1x7Y/edit?usp=sharing"",""แผน!IO20"")"),0)</f>
        <v>0</v>
      </c>
      <c r="J676" s="184">
        <f ca="1">IFERROR(__xludf.DUMMYFUNCTION("IMPORTRANGE(""https://docs.google.com/spreadsheets/d/1tdoBKaGub7dwA3U6UFTqxio9LNnvDCQjHKmttSEBsFQ/edit?usp=sharing"",""จัดที่ดิน!BF20"")"),0)</f>
        <v>0</v>
      </c>
      <c r="K676" s="224">
        <f ca="1">IF(I676&gt;0,J676*100/I676,0)</f>
        <v>0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hidden="1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IFERROR(__xludf.DUMMYFUNCTION("IMPORTRANGE(""https://docs.google.com/spreadsheets/d/1tdoBKaGub7dwA3U6UFTqxio9LNnvDCQjHKmttSEBsFQ/edit?usp=sharing"",""จัดที่ดิน!BG20"")"),0)</f>
        <v>0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hidden="1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IFERROR(__xludf.DUMMYFUNCTION("IMPORTRANGE(""https://docs.google.com/spreadsheets/d/1eHaY18a8A9IcSdp1K8H6x8fbOy06t2VsZHhMHf-1x7Y/edit?usp=sharing"",""แผน!IP20"")"),0)</f>
        <v>0</v>
      </c>
      <c r="J678" s="184">
        <f ca="1">IFERROR(__xludf.DUMMYFUNCTION("IMPORTRANGE(""https://docs.google.com/spreadsheets/d/1tdoBKaGub7dwA3U6UFTqxio9LNnvDCQjHKmttSEBsFQ/edit?usp=sharing"",""จัดที่ดิน!BH20"")"),0)</f>
        <v>0</v>
      </c>
      <c r="K678" s="224">
        <f ca="1">IF(I678&gt;0,J678*100/I678,0)</f>
        <v>0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hidden="1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IFERROR(__xludf.DUMMYFUNCTION("IMPORTRANGE(""https://docs.google.com/spreadsheets/d/1eHaY18a8A9IcSdp1K8H6x8fbOy06t2VsZHhMHf-1x7Y/edit?usp=sharing"",""แผน!IQ20"")"),0)</f>
        <v>0</v>
      </c>
      <c r="J679" s="184">
        <f ca="1">IFERROR(__xludf.DUMMYFUNCTION("IMPORTRANGE(""https://docs.google.com/spreadsheets/d/1tdoBKaGub7dwA3U6UFTqxio9LNnvDCQjHKmttSEBsFQ/edit?usp=sharing"",""จัดที่ดิน!BK20"")"),0)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hidden="1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IFERROR(__xludf.DUMMYFUNCTION("IMPORTRANGE(""https://docs.google.com/spreadsheets/d/1tdoBKaGub7dwA3U6UFTqxio9LNnvDCQjHKmttSEBsFQ/edit?usp=sharing"",""จัดที่ดิน!BL20"")"),0)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hidden="1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IFERROR(__xludf.DUMMYFUNCTION("IMPORTRANGE(""https://docs.google.com/spreadsheets/d/1eHaY18a8A9IcSdp1K8H6x8fbOy06t2VsZHhMHf-1x7Y/edit?usp=sharing"",""แผน!IR20"")"),0)</f>
        <v>0</v>
      </c>
      <c r="J681" s="184">
        <f ca="1">IFERROR(__xludf.DUMMYFUNCTION("IMPORTRANGE(""https://docs.google.com/spreadsheets/d/1tdoBKaGub7dwA3U6UFTqxio9LNnvDCQjHKmttSEBsFQ/edit?usp=sharing"",""จัดที่ดิน!BM20"")"),0)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IFERROR(__xludf.DUMMYFUNCTION("IMPORTRANGE(""https://docs.google.com/spreadsheets/d/1eHaY18a8A9IcSdp1K8H6x8fbOy06t2VsZHhMHf-1x7Y/edit?usp=sharing"",""แผน!IS20"")"),0)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70</v>
      </c>
      <c r="J689" s="552">
        <f ca="1">J707</f>
        <v>99</v>
      </c>
      <c r="K689" s="551">
        <f ca="1">IF(I689&gt;0,J689*100/I689,0)</f>
        <v>141.42857142857142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237780</v>
      </c>
      <c r="R690" s="547">
        <f ca="1">R691+R692</f>
        <v>237780</v>
      </c>
      <c r="S690" s="547">
        <f ca="1">S691+S692</f>
        <v>114610.31</v>
      </c>
      <c r="T690" s="547">
        <f ca="1">IF(Q690&gt;0,S690*100/Q690,0)</f>
        <v>48.200147194886029</v>
      </c>
      <c r="U690" s="547">
        <f ca="1">IF(R690&gt;0,S690*100/R690,0)</f>
        <v>48.200147194886029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237780</v>
      </c>
      <c r="R692" s="224">
        <f ca="1">R695+R698</f>
        <v>237780</v>
      </c>
      <c r="S692" s="224">
        <f ca="1">S695+S698</f>
        <v>114610.31</v>
      </c>
      <c r="T692" s="224">
        <f ca="1">IF(Q692&gt;0,S692*100/Q692,0)</f>
        <v>48.200147194886029</v>
      </c>
      <c r="U692" s="224">
        <f ca="1">IF(R692&gt;0,S692*100/R692,0)</f>
        <v>48.200147194886029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237780</v>
      </c>
      <c r="R693" s="224">
        <f ca="1">R694+R695</f>
        <v>237780</v>
      </c>
      <c r="S693" s="224">
        <f ca="1">S694+S695</f>
        <v>114610.31</v>
      </c>
      <c r="T693" s="224">
        <f ca="1">IF(Q693&gt;0,S693*100/Q693,0)</f>
        <v>48.200147194886029</v>
      </c>
      <c r="U693" s="224">
        <f ca="1">IF(R693&gt;0,S693*100/R693,0)</f>
        <v>48.200147194886029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5" s="224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5" s="224">
        <f ca="1">IFERROR(__xludf.DUMMYFUNCTION("IMPORTRANGE(""https://docs.google.com/spreadsheets/d/1ItG2mGa2ceCfYo0BwxsXqNm01IGEUdYcSSLTEv9YCik/edit?usp=sharing"",""เบิกจ่ายกองทุน!N20"")"),114610.31)</f>
        <v>114610.31</v>
      </c>
      <c r="T695" s="224">
        <f ca="1">IF(Q695&gt;0,S695*100/Q695,0)</f>
        <v>48.200147194886029</v>
      </c>
      <c r="U695" s="224">
        <f ca="1">IF(R695&gt;0,S695*100/R695,0)</f>
        <v>48.200147194886029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IFERROR(__xludf.DUMMYFUNCTION("IMPORTRANGE(""https://docs.google.com/spreadsheets/d/1eHaY18a8A9IcSdp1K8H6x8fbOy06t2VsZHhMHf-1x7Y/edit?usp=sharing"",""แผน!LC20"")"),3)</f>
        <v>3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74</v>
      </c>
      <c r="J701" s="338">
        <f ca="1">J703+J705</f>
        <v>99</v>
      </c>
      <c r="K701" s="547">
        <f ca="1">IF(I701&gt;0,J701*100/I701,0)</f>
        <v>133.78378378378378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115.89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IFERROR(__xludf.DUMMYFUNCTION("IMPORTRANGE(""https://docs.google.com/spreadsheets/d/1eHaY18a8A9IcSdp1K8H6x8fbOy06t2VsZHhMHf-1x7Y/edit?usp=sharing"",""แผน!LJ20"")"),70)</f>
        <v>70</v>
      </c>
      <c r="J703" s="184">
        <f ca="1">IFERROR(__xludf.DUMMYFUNCTION("IMPORTRANGE(""https://docs.google.com/spreadsheets/d/1tdoBKaGub7dwA3U6UFTqxio9LNnvDCQjHKmttSEBsFQ/edit?usp=sharing"",""จัดที่ดิน!AP20"")"),99)</f>
        <v>99</v>
      </c>
      <c r="K703" s="224">
        <f ca="1">IF(I703&gt;0,J703*100/I703,0)</f>
        <v>141.42857142857142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IFERROR(__xludf.DUMMYFUNCTION("IMPORTRANGE(""https://docs.google.com/spreadsheets/d/1tdoBKaGub7dwA3U6UFTqxio9LNnvDCQjHKmttSEBsFQ/edit?usp=sharing"",""จัดที่ดิน!AQ20"")"),115.89)</f>
        <v>115.89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IFERROR(__xludf.DUMMYFUNCTION("IMPORTRANGE(""https://docs.google.com/spreadsheets/d/1eHaY18a8A9IcSdp1K8H6x8fbOy06t2VsZHhMHf-1x7Y/edit?usp=sharing"",""แผน!LK20"")"),4)</f>
        <v>4</v>
      </c>
      <c r="J705" s="184">
        <f ca="1">IFERROR(__xludf.DUMMYFUNCTION("IMPORTRANGE(""https://docs.google.com/spreadsheets/d/1tdoBKaGub7dwA3U6UFTqxio9LNnvDCQjHKmttSEBsFQ/edit?usp=sharing"",""จัดที่ดิน!AR20"")"),0)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IFERROR(__xludf.DUMMYFUNCTION("IMPORTRANGE(""https://docs.google.com/spreadsheets/d/1tdoBKaGub7dwA3U6UFTqxio9LNnvDCQjHKmttSEBsFQ/edit?usp=sharing"",""จัดที่ดิน!AS20"")"),0)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IFERROR(__xludf.DUMMYFUNCTION("IMPORTRANGE(""https://docs.google.com/spreadsheets/d/1eHaY18a8A9IcSdp1K8H6x8fbOy06t2VsZHhMHf-1x7Y/edit?usp=sharing"",""แผน!LJ20"")"),70)</f>
        <v>70</v>
      </c>
      <c r="J707" s="184">
        <f ca="1">IFERROR(__xludf.DUMMYFUNCTION("IMPORTRANGE(""https://docs.google.com/spreadsheets/d/1tdoBKaGub7dwA3U6UFTqxio9LNnvDCQjHKmttSEBsFQ/edit?usp=sharing"",""จัดที่ดิน!BN20"")"),99)</f>
        <v>99</v>
      </c>
      <c r="K707" s="224">
        <f ca="1">IF(I707&gt;0,J707*100/I707,0)</f>
        <v>141.42857142857142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IFERROR(__xludf.DUMMYFUNCTION("IMPORTRANGE(""https://docs.google.com/spreadsheets/d/1tdoBKaGub7dwA3U6UFTqxio9LNnvDCQjHKmttSEBsFQ/edit?usp=sharing"",""จัดที่ดิน!BO20"")"),86)</f>
        <v>86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IFERROR(__xludf.DUMMYFUNCTION("IMPORTRANGE(""https://docs.google.com/spreadsheets/d/1eHaY18a8A9IcSdp1K8H6x8fbOy06t2VsZHhMHf-1x7Y/edit?usp=sharing"",""แผน!LK20"")"),4)</f>
        <v>4</v>
      </c>
      <c r="J709" s="184">
        <f ca="1">IFERROR(__xludf.DUMMYFUNCTION("IMPORTRANGE(""https://docs.google.com/spreadsheets/d/1tdoBKaGub7dwA3U6UFTqxio9LNnvDCQjHKmttSEBsFQ/edit?usp=sharing"",""จัดที่ดิน!BP20"")"),2)</f>
        <v>2</v>
      </c>
      <c r="K709" s="224">
        <f ca="1">IF(I709&gt;0,J709*100/I709,0)</f>
        <v>50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IFERROR(__xludf.DUMMYFUNCTION("IMPORTRANGE(""https://docs.google.com/spreadsheets/d/1tdoBKaGub7dwA3U6UFTqxio9LNnvDCQjHKmttSEBsFQ/edit?usp=sharing"",""จัดที่ดิน!BQ20"")"),0)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IFERROR(__xludf.DUMMYFUNCTION("IMPORTRANGE(""https://docs.google.com/spreadsheets/d/1eHaY18a8A9IcSdp1K8H6x8fbOy06t2VsZHhMHf-1x7Y/edit?usp=sharing"",""แผน!GA20"")"),31)</f>
        <v>31</v>
      </c>
      <c r="J726" s="552">
        <f>J742+J746+J749</f>
        <v>30</v>
      </c>
      <c r="K726" s="551">
        <f ca="1">IF(I726&gt;0,J726*100/I726,0)</f>
        <v>96.774193548387103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IFERROR(__xludf.DUMMYFUNCTION("IMPORTRANGE(""https://docs.google.com/spreadsheets/d/1eHaY18a8A9IcSdp1K8H6x8fbOy06t2VsZHhMHf-1x7Y/edit?usp=sharing"",""แผน!FZ20"")"),300)</f>
        <v>300</v>
      </c>
      <c r="J727" s="552">
        <f>J752+J755</f>
        <v>0</v>
      </c>
      <c r="K727" s="551">
        <f ca="1">IF(I727&gt;0,J727*100/I727,0)</f>
        <v>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65345</v>
      </c>
      <c r="T728" s="547">
        <f ca="1">IF(Q728&gt;0,S728*100/Q728,0)</f>
        <v>26.941281241496458</v>
      </c>
      <c r="U728" s="547">
        <f ca="1">IF(R728&gt;0,S728*100/R728,0)</f>
        <v>26.941281241496458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hidden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65345</v>
      </c>
      <c r="T730" s="224">
        <f ca="1">IF(Q730&gt;0,S730*100/Q730,0)</f>
        <v>26.941281241496458</v>
      </c>
      <c r="U730" s="224">
        <f ca="1">IF(R730&gt;0,S730*100/R730,0)</f>
        <v>26.941281241496458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65345</v>
      </c>
      <c r="T731" s="224">
        <f ca="1">IF(Q731&gt;0,S731*100/Q731,0)</f>
        <v>26.941281241496458</v>
      </c>
      <c r="U731" s="224">
        <f ca="1">IF(R731&gt;0,S731*100/R731,0)</f>
        <v>26.941281241496458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IFERROR(__xludf.DUMMYFUNCTION("IMPORTRANGE(""https://docs.google.com/spreadsheets/d/1ItG2mGa2ceCfYo0BwxsXqNm01IGEUdYcSSLTEv9YCik/edit?usp=sharing"",""เบิกจ่ายกองทุน!Q20"")"),65345)</f>
        <v>65345</v>
      </c>
      <c r="T733" s="224">
        <f ca="1">IF(Q733&gt;0,S733*100/Q733,0)</f>
        <v>26.941281241496458</v>
      </c>
      <c r="U733" s="224">
        <f ca="1">IF(R733&gt;0,S733*100/R733,0)</f>
        <v>26.941281241496458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IFERROR(__xludf.DUMMYFUNCTION("IMPORTRANGE(""https://docs.google.com/spreadsheets/d/1eHaY18a8A9IcSdp1K8H6x8fbOy06t2VsZHhMHf-1x7Y/edit?usp=sharing"",""แผน!GB20"")"),240)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0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IFERROR(__xludf.DUMMYFUNCTION("IMPORTRANGE(""https://docs.google.com/spreadsheets/d/1eHaY18a8A9IcSdp1K8H6x8fbOy06t2VsZHhMHf-1x7Y/edit?usp=sharing"",""แผน!GC20"")"),24)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IFERROR(__xludf.DUMMYFUNCTION("IMPORTRANGE(""https://docs.google.com/spreadsheets/d/1eHaY18a8A9IcSdp1K8H6x8fbOy06t2VsZHhMHf-1x7Y/edit?usp=sharing"",""แผน!GD20"")"),60)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0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IFERROR(__xludf.DUMMYFUNCTION("IMPORTRANGE(""https://docs.google.com/spreadsheets/d/1eHaY18a8A9IcSdp1K8H6x8fbOy06t2VsZHhMHf-1x7Y/edit?usp=sharing"",""แผน!GE20"")"),6)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0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IFERROR(__xludf.DUMMYFUNCTION("IMPORTRANGE(""https://docs.google.com/spreadsheets/d/1eHaY18a8A9IcSdp1K8H6x8fbOy06t2VsZHhMHf-1x7Y/edit?usp=sharing"",""แผน!GF20"")"),1)</f>
        <v>1</v>
      </c>
      <c r="J749" s="555">
        <v>0</v>
      </c>
      <c r="K749" s="558">
        <f ca="1">IF(I749&gt;0,J749*100/I749,0)</f>
        <v>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IFERROR(__xludf.DUMMYFUNCTION("IMPORTRANGE(""https://docs.google.com/spreadsheets/d/1eHaY18a8A9IcSdp1K8H6x8fbOy06t2VsZHhMHf-1x7Y/edit?usp=sharing"",""แผน!GB20"")"),240)</f>
        <v>240</v>
      </c>
      <c r="J752" s="555">
        <v>0</v>
      </c>
      <c r="K752" s="558">
        <f ca="1">IF(I752&gt;0,J752*100/I752,0)</f>
        <v>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IFERROR(__xludf.DUMMYFUNCTION("IMPORTRANGE(""https://docs.google.com/spreadsheets/d/1eHaY18a8A9IcSdp1K8H6x8fbOy06t2VsZHhMHf-1x7Y/edit?usp=sharing"",""แผน!GD20"")"),60)</f>
        <v>60</v>
      </c>
      <c r="J755" s="555">
        <v>0</v>
      </c>
      <c r="K755" s="558">
        <f ca="1">IF(I755&gt;0,J755*100/I755,0)</f>
        <v>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0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80</v>
      </c>
      <c r="J758" s="552">
        <f>J772</f>
        <v>80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140</v>
      </c>
      <c r="J759" s="552">
        <f>J774</f>
        <v>140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484700</v>
      </c>
      <c r="R760" s="547">
        <f ca="1">R761+R762</f>
        <v>484700</v>
      </c>
      <c r="S760" s="547">
        <f ca="1">S761+S762</f>
        <v>460058</v>
      </c>
      <c r="T760" s="547">
        <f ca="1">IF(Q760&gt;0,S760*100/Q760,0)</f>
        <v>94.916030534351151</v>
      </c>
      <c r="U760" s="547">
        <f ca="1">IF(R760&gt;0,S760*100/R760,0)</f>
        <v>94.916030534351151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484700</v>
      </c>
      <c r="R762" s="224">
        <f ca="1">R765+R768</f>
        <v>484700</v>
      </c>
      <c r="S762" s="224">
        <f ca="1">S765+S768</f>
        <v>460058</v>
      </c>
      <c r="T762" s="224">
        <f ca="1">IF(Q762&gt;0,S762*100/Q762,0)</f>
        <v>94.916030534351151</v>
      </c>
      <c r="U762" s="224">
        <f ca="1">IF(R762&gt;0,S762*100/R762,0)</f>
        <v>94.916030534351151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484700</v>
      </c>
      <c r="R763" s="224">
        <f ca="1">R764+R765</f>
        <v>484700</v>
      </c>
      <c r="S763" s="224">
        <f ca="1">S764+S765</f>
        <v>460058</v>
      </c>
      <c r="T763" s="224">
        <f ca="1">IF(Q763&gt;0,S763*100/Q763,0)</f>
        <v>94.916030534351151</v>
      </c>
      <c r="U763" s="224">
        <f ca="1">IF(R763&gt;0,S763*100/R763,0)</f>
        <v>94.916030534351151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IFERROR(__xludf.DUMMYFUNCTION("IMPORTRANGE(""https://docs.google.com/spreadsheets/d/1ItG2mGa2ceCfYo0BwxsXqNm01IGEUdYcSSLTEv9YCik/edit?usp=sharing"",""เบิกจ่ายกองทุน!AA20"")"),484700)</f>
        <v>484700</v>
      </c>
      <c r="R765" s="224">
        <f ca="1">IFERROR(__xludf.DUMMYFUNCTION("IMPORTRANGE(""https://docs.google.com/spreadsheets/d/1ItG2mGa2ceCfYo0BwxsXqNm01IGEUdYcSSLTEv9YCik/edit?usp=sharing"",""เบิกจ่ายกองทุน!AB20"")"),484700)</f>
        <v>484700</v>
      </c>
      <c r="S765" s="224">
        <f ca="1">IFERROR(__xludf.DUMMYFUNCTION("IMPORTRANGE(""https://docs.google.com/spreadsheets/d/1ItG2mGa2ceCfYo0BwxsXqNm01IGEUdYcSSLTEv9YCik/edit?usp=sharing"",""เบิกจ่ายกองทุน!AC20"")"),460058)</f>
        <v>460058</v>
      </c>
      <c r="T765" s="224">
        <f ca="1">IF(Q765&gt;0,S765*100/Q765,0)</f>
        <v>94.916030534351151</v>
      </c>
      <c r="U765" s="224">
        <f ca="1">IF(R765&gt;0,S765*100/R765,0)</f>
        <v>94.916030534351151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IFERROR(__xludf.DUMMYFUNCTION("IMPORTRANGE(""https://docs.google.com/spreadsheets/d/1eHaY18a8A9IcSdp1K8H6x8fbOy06t2VsZHhMHf-1x7Y/edit?usp=sharing"",""แผน!FI20"")"),2)</f>
        <v>2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IFERROR(__xludf.DUMMYFUNCTION("IMPORTRANGE(""https://docs.google.com/spreadsheets/d/1eHaY18a8A9IcSdp1K8H6x8fbOy06t2VsZHhMHf-1x7Y/edit?usp=sharing"",""แผน!FQ20"")"),80)</f>
        <v>80</v>
      </c>
      <c r="J772" s="380">
        <v>80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IFERROR(__xludf.DUMMYFUNCTION("IMPORTRANGE(""https://docs.google.com/spreadsheets/d/1eHaY18a8A9IcSdp1K8H6x8fbOy06t2VsZHhMHf-1x7Y/edit?usp=sharing"",""แผน!FR20"")"),140)</f>
        <v>140</v>
      </c>
      <c r="J774" s="380">
        <v>140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IFERROR(__xludf.DUMMYFUNCTION("IMPORTRANGE(""https://docs.google.com/spreadsheets/d/1eHaY18a8A9IcSdp1K8H6x8fbOy06t2VsZHhMHf-1x7Y/edit?usp=sharing"",""แผน!FS20"")"),140)</f>
        <v>140</v>
      </c>
      <c r="J775" s="380">
        <v>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IFERROR(__xludf.DUMMYFUNCTION("IMPORTRANGE(""https://docs.google.com/spreadsheets/d/1eHaY18a8A9IcSdp1K8H6x8fbOy06t2VsZHhMHf-1x7Y/edit?usp=sharing"",""แผน!FT20"")"),80)</f>
        <v>80</v>
      </c>
      <c r="J776" s="542">
        <v>0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IFERROR(__xludf.DUMMYFUNCTION("IMPORTRANGE(""https://docs.google.com/spreadsheets/d/10OvvATaaLtwErnr3qtWFcTmtbfpFEt5Bsqel9sXx0uE/edit?usp=sharing"",""งานกองทุน!D20"")"),2847028.02)</f>
        <v>2847028.02</v>
      </c>
      <c r="J778" s="184">
        <f ca="1">IFERROR(__xludf.DUMMYFUNCTION("IMPORTRANGE(""https://docs.google.com/spreadsheets/d/10OvvATaaLtwErnr3qtWFcTmtbfpFEt5Bsqel9sXx0uE/edit?usp=sharing"",""งานกองทุน!F20"")"),2934001.31)</f>
        <v>2934001.31</v>
      </c>
      <c r="K778" s="224">
        <f ca="1">IF(I778&gt;0,J778*100/I778,0)</f>
        <v>103.05488001484439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IFERROR(__xludf.DUMMYFUNCTION("IMPORTRANGE(""https://docs.google.com/spreadsheets/d/10OvvATaaLtwErnr3qtWFcTmtbfpFEt5Bsqel9sXx0uE/edit?usp=sharing"",""งานกองทุน!C20"")"),282)</f>
        <v>282</v>
      </c>
      <c r="J779" s="184">
        <f ca="1">IFERROR(__xludf.DUMMYFUNCTION("IMPORTRANGE(""https://docs.google.com/spreadsheets/d/10OvvATaaLtwErnr3qtWFcTmtbfpFEt5Bsqel9sXx0uE/edit?usp=sharing"",""งานกองทุน!E20"")"),271)</f>
        <v>271</v>
      </c>
      <c r="K779" s="224">
        <f ca="1">IF(I779&gt;0,J779*100/I779,0)</f>
        <v>96.099290780141843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184">
        <f ca="1">IFERROR(__xludf.DUMMYFUNCTION("IMPORTRANGE(""https://docs.google.com/spreadsheets/d/10OvvATaaLtwErnr3qtWFcTmtbfpFEt5Bsqel9sXx0uE/edit?usp=sharing"",""งานกองทุน!K20"")"),636038.77)</f>
        <v>636038.77</v>
      </c>
      <c r="K780" s="224">
        <f ca="1">IF(I780&gt;0,J780*100/I780,0)</f>
        <v>6.4486093577037815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IFERROR(__xludf.DUMMYFUNCTION("IMPORTRANGE(""https://docs.google.com/spreadsheets/d/10OvvATaaLtwErnr3qtWFcTmtbfpFEt5Bsqel9sXx0uE/edit?usp=sharing"",""งานกองทุน!H20"")"),351)</f>
        <v>351</v>
      </c>
      <c r="J781" s="184">
        <f ca="1">IFERROR(__xludf.DUMMYFUNCTION("IMPORTRANGE(""https://docs.google.com/spreadsheets/d/10OvvATaaLtwErnr3qtWFcTmtbfpFEt5Bsqel9sXx0uE/edit?usp=sharing"",""งานกองทุน!J20"")"),65)</f>
        <v>65</v>
      </c>
      <c r="K781" s="224">
        <f ca="1">IF(I781&gt;0,J781*100/I781,0)</f>
        <v>18.518518518518519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184">
        <f ca="1">IFERROR(__xludf.DUMMYFUNCTION("IMPORTRANGE(""https://docs.google.com/spreadsheets/d/10OvvATaaLtwErnr3qtWFcTmtbfpFEt5Bsqel9sXx0uE/edit?usp=sharing"",""งานกองทุน!P20"")"),225173.88)</f>
        <v>225173.88</v>
      </c>
      <c r="K782" s="224">
        <f ca="1">IF(I782&gt;0,J782*100/I782,0)</f>
        <v>190.5444949735521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IFERROR(__xludf.DUMMYFUNCTION("IMPORTRANGE(""https://docs.google.com/spreadsheets/d/10OvvATaaLtwErnr3qtWFcTmtbfpFEt5Bsqel9sXx0uE/edit?usp=sharing"",""งานกองทุน!M20"")"),241)</f>
        <v>241</v>
      </c>
      <c r="J783" s="184">
        <f ca="1">IFERROR(__xludf.DUMMYFUNCTION("IMPORTRANGE(""https://docs.google.com/spreadsheets/d/10OvvATaaLtwErnr3qtWFcTmtbfpFEt5Bsqel9sXx0uE/edit?usp=sharing"",""งานกองทุน!O20"")"),200)</f>
        <v>200</v>
      </c>
      <c r="K783" s="224">
        <f ca="1">IF(I783&gt;0,J783*100/I783,0)</f>
        <v>82.987551867219921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IFERROR(__xludf.DUMMYFUNCTION("IMPORTRANGE(""https://docs.google.com/spreadsheets/d/10OvvATaaLtwErnr3qtWFcTmtbfpFEt5Bsqel9sXx0uE/edit?usp=sharing"",""งานกองทุน!S20"")"),6696000)</f>
        <v>6696000</v>
      </c>
      <c r="J784" s="184">
        <f ca="1">IFERROR(__xludf.DUMMYFUNCTION("IMPORTRANGE(""https://docs.google.com/spreadsheets/d/10OvvATaaLtwErnr3qtWFcTmtbfpFEt5Bsqel9sXx0uE/edit?usp=sharing"",""งานกองทุน!U20"")"),2070000)</f>
        <v>2070000</v>
      </c>
      <c r="K784" s="224">
        <f ca="1">IF(I784&gt;0,J784*100/I784,0)</f>
        <v>30.913978494623656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IFERROR(__xludf.DUMMYFUNCTION("IMPORTRANGE(""https://docs.google.com/spreadsheets/d/10OvvATaaLtwErnr3qtWFcTmtbfpFEt5Bsqel9sXx0uE/edit?usp=sharing"",""งานกองทุน!R20"")"),133)</f>
        <v>133</v>
      </c>
      <c r="J785" s="188">
        <f ca="1">IFERROR(__xludf.DUMMYFUNCTION("IMPORTRANGE(""https://docs.google.com/spreadsheets/d/10OvvATaaLtwErnr3qtWFcTmtbfpFEt5Bsqel9sXx0uE/edit?usp=sharing"",""งานกองทุน!T20"")"),48)</f>
        <v>48</v>
      </c>
      <c r="K785" s="508">
        <f ca="1">IF(I785&gt;0,J785*100/I785,0)</f>
        <v>36.090225563909776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4A44-4020-4D19-B49F-344FE3BEF756}">
  <sheetPr>
    <outlinePr summaryBelow="0" summaryRight="0"/>
    <pageSetUpPr fitToPage="1"/>
  </sheetPr>
  <dimension ref="A1:U789"/>
  <sheetViews>
    <sheetView view="pageBreakPreview" zoomScale="50" zoomScaleNormal="100" zoomScaleSheetLayoutView="50" workbookViewId="0">
      <pane xSplit="8" ySplit="6" topLeftCell="I7" activePane="bottomRight" state="frozen"/>
      <selection activeCell="Y50" sqref="Y50"/>
      <selection pane="topRight" activeCell="Y50" sqref="Y50"/>
      <selection pane="bottomLeft" activeCell="Y50" sqref="Y50"/>
      <selection pane="bottomRight" activeCell="Y50" sqref="Y50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 x14ac:dyDescent="0.3">
      <c r="A1" s="816" t="s">
        <v>0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</row>
    <row r="2" spans="1:21" ht="19.5" x14ac:dyDescent="0.3">
      <c r="A2" s="816" t="s">
        <v>335</v>
      </c>
      <c r="B2" s="816"/>
      <c r="C2" s="816"/>
      <c r="D2" s="816"/>
      <c r="E2" s="816"/>
      <c r="F2" s="816"/>
      <c r="G2" s="816"/>
      <c r="H2" s="816"/>
      <c r="I2" s="816"/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</row>
    <row r="3" spans="1:21" ht="19.5" x14ac:dyDescent="0.3">
      <c r="A3" s="919" t="s">
        <v>346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  <c r="O3" s="919"/>
      <c r="P3" s="919"/>
      <c r="Q3" s="919"/>
      <c r="R3" s="919"/>
      <c r="S3" s="919"/>
      <c r="T3" s="919"/>
      <c r="U3" s="919"/>
    </row>
    <row r="4" spans="1:21" ht="19.5" x14ac:dyDescent="0.3">
      <c r="A4" s="815" t="s">
        <v>4</v>
      </c>
      <c r="B4" s="812"/>
      <c r="C4" s="812"/>
      <c r="D4" s="812"/>
      <c r="E4" s="812"/>
      <c r="F4" s="812"/>
      <c r="G4" s="811"/>
      <c r="H4" s="814" t="s">
        <v>5</v>
      </c>
      <c r="I4" s="813" t="s">
        <v>6</v>
      </c>
      <c r="J4" s="812"/>
      <c r="K4" s="811"/>
      <c r="L4" s="810" t="s">
        <v>2</v>
      </c>
      <c r="M4" s="520"/>
      <c r="N4" s="520"/>
      <c r="O4" s="520"/>
      <c r="P4" s="521"/>
      <c r="Q4" s="522" t="s">
        <v>3</v>
      </c>
      <c r="R4" s="520"/>
      <c r="S4" s="520"/>
      <c r="T4" s="520"/>
      <c r="U4" s="521"/>
    </row>
    <row r="5" spans="1:21" ht="19.5" x14ac:dyDescent="0.3">
      <c r="A5" s="809"/>
      <c r="B5" s="518"/>
      <c r="C5" s="518"/>
      <c r="D5" s="518"/>
      <c r="E5" s="518"/>
      <c r="F5" s="518"/>
      <c r="G5" s="531"/>
      <c r="H5" s="808"/>
      <c r="I5" s="532"/>
      <c r="J5" s="514"/>
      <c r="K5" s="515"/>
      <c r="L5" s="807" t="s">
        <v>7</v>
      </c>
      <c r="M5" s="515"/>
      <c r="N5" s="513" t="s">
        <v>8</v>
      </c>
      <c r="O5" s="514"/>
      <c r="P5" s="515"/>
      <c r="Q5" s="516" t="s">
        <v>7</v>
      </c>
      <c r="R5" s="515"/>
      <c r="S5" s="513" t="s">
        <v>8</v>
      </c>
      <c r="T5" s="514"/>
      <c r="U5" s="515"/>
    </row>
    <row r="6" spans="1:21" ht="19.5" x14ac:dyDescent="0.3">
      <c r="A6" s="532"/>
      <c r="B6" s="514"/>
      <c r="C6" s="514"/>
      <c r="D6" s="514"/>
      <c r="E6" s="514"/>
      <c r="F6" s="514"/>
      <c r="G6" s="515"/>
      <c r="H6" s="806"/>
      <c r="I6" s="804" t="s">
        <v>9</v>
      </c>
      <c r="J6" s="805" t="s">
        <v>10</v>
      </c>
      <c r="K6" s="804" t="s">
        <v>11</v>
      </c>
      <c r="L6" s="80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793"/>
      <c r="B7" s="514"/>
      <c r="C7" s="514"/>
      <c r="D7" s="514"/>
      <c r="E7" s="514"/>
      <c r="F7" s="514"/>
      <c r="G7" s="515"/>
      <c r="H7" s="14"/>
      <c r="I7" s="15"/>
      <c r="J7" s="15"/>
      <c r="K7" s="16"/>
      <c r="L7" s="792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682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682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682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682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682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682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682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682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792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9.5" x14ac:dyDescent="0.3">
      <c r="A17" s="534" t="s">
        <v>17</v>
      </c>
      <c r="B17" s="514"/>
      <c r="C17" s="514"/>
      <c r="D17" s="514"/>
      <c r="E17" s="514"/>
      <c r="F17" s="514"/>
      <c r="G17" s="515"/>
      <c r="H17" s="23"/>
      <c r="I17" s="24"/>
      <c r="J17" s="24"/>
      <c r="K17" s="25"/>
      <c r="L17" s="802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9.5" x14ac:dyDescent="0.3">
      <c r="A18" s="26"/>
      <c r="B18" s="27"/>
      <c r="C18" s="801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800">
        <f ca="1">L19+L20</f>
        <v>2801650</v>
      </c>
      <c r="M18" s="755">
        <f ca="1">M19+M20</f>
        <v>3544338</v>
      </c>
      <c r="N18" s="755">
        <f ca="1">N19+N20</f>
        <v>3176752.94</v>
      </c>
      <c r="O18" s="755">
        <f ca="1">IF(L18&gt;0,N18*100/L18,0)</f>
        <v>113.38864383488301</v>
      </c>
      <c r="P18" s="755">
        <f ca="1">IF(M18&gt;0,N18*100/M18,0)</f>
        <v>89.628950173487965</v>
      </c>
      <c r="Q18" s="755">
        <f ca="1">Q19+Q20</f>
        <v>1680991.3900000001</v>
      </c>
      <c r="R18" s="755">
        <f ca="1">R19+R20</f>
        <v>1669691</v>
      </c>
      <c r="S18" s="755">
        <f ca="1">S19+S20</f>
        <v>1289010.92</v>
      </c>
      <c r="T18" s="755">
        <f ca="1">IF(Q18&gt;0,S18*100/Q18,0)</f>
        <v>76.681589665964907</v>
      </c>
      <c r="U18" s="755">
        <f ca="1">IF(R18&gt;0,S18*100/R18,0)</f>
        <v>77.200567051029196</v>
      </c>
    </row>
    <row r="19" spans="1:21" ht="18.75" hidden="1" x14ac:dyDescent="0.25">
      <c r="A19" s="26"/>
      <c r="B19" s="27"/>
      <c r="C19" s="27"/>
      <c r="D19" s="27"/>
      <c r="E19" s="799" t="s">
        <v>20</v>
      </c>
      <c r="F19" s="27"/>
      <c r="G19" s="30"/>
      <c r="H19" s="798" t="s">
        <v>14</v>
      </c>
      <c r="I19" s="32"/>
      <c r="J19" s="32"/>
      <c r="K19" s="33"/>
      <c r="L19" s="797">
        <f>L22+L25</f>
        <v>0</v>
      </c>
      <c r="M19" s="796">
        <f>M22+M25</f>
        <v>0</v>
      </c>
      <c r="N19" s="796">
        <f>N22+N25</f>
        <v>0</v>
      </c>
      <c r="O19" s="796">
        <f>IF(L19&gt;0,N19*100/L19,0)</f>
        <v>0</v>
      </c>
      <c r="P19" s="796">
        <f>IF(M19&gt;0,N19*100/M19,0)</f>
        <v>0</v>
      </c>
      <c r="Q19" s="796">
        <f>Q22+Q25</f>
        <v>0</v>
      </c>
      <c r="R19" s="796">
        <f>R22+R25</f>
        <v>0</v>
      </c>
      <c r="S19" s="796">
        <f>S22+S25</f>
        <v>0</v>
      </c>
      <c r="T19" s="796">
        <f>IF(Q19&gt;0,S19*100/Q19,0)</f>
        <v>0</v>
      </c>
      <c r="U19" s="796">
        <f>IF(R19&gt;0,S19*100/R19,0)</f>
        <v>0</v>
      </c>
    </row>
    <row r="20" spans="1:21" ht="18.75" hidden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795">
        <f ca="1">L23+L26</f>
        <v>2801650</v>
      </c>
      <c r="M20" s="794">
        <f ca="1">M23+M26</f>
        <v>3544338</v>
      </c>
      <c r="N20" s="794">
        <f ca="1">N23+N26</f>
        <v>3176752.94</v>
      </c>
      <c r="O20" s="794">
        <f ca="1">IF(L20&gt;0,N20*100/L20,0)</f>
        <v>113.38864383488301</v>
      </c>
      <c r="P20" s="794">
        <f ca="1">IF(M20&gt;0,N20*100/M20,0)</f>
        <v>89.628950173487965</v>
      </c>
      <c r="Q20" s="794">
        <f ca="1">Q23+Q26</f>
        <v>1680991.3900000001</v>
      </c>
      <c r="R20" s="794">
        <f ca="1">R23+R26</f>
        <v>1669691</v>
      </c>
      <c r="S20" s="794">
        <f ca="1">S23+S26</f>
        <v>1289010.92</v>
      </c>
      <c r="T20" s="794">
        <f ca="1">IF(Q20&gt;0,S20*100/Q20,0)</f>
        <v>76.681589665964907</v>
      </c>
      <c r="U20" s="794">
        <f ca="1">IF(R20&gt;0,S20*100/R20,0)</f>
        <v>77.200567051029196</v>
      </c>
    </row>
    <row r="21" spans="1:21" ht="18.75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545">
        <f ca="1">L22+L23</f>
        <v>2801650</v>
      </c>
      <c r="M21" s="224">
        <f ca="1">M22+M23</f>
        <v>3224338</v>
      </c>
      <c r="N21" s="224">
        <f ca="1">N22+N23</f>
        <v>2856752.94</v>
      </c>
      <c r="O21" s="224">
        <f ca="1">IF(L21&gt;0,N21*100/L21,0)</f>
        <v>101.96680313386754</v>
      </c>
      <c r="P21" s="224">
        <f ca="1">IF(M21&gt;0,N21*100/M21,0)</f>
        <v>88.599673483363091</v>
      </c>
      <c r="Q21" s="224">
        <f ca="1">Q22+Q23</f>
        <v>1680991.3900000001</v>
      </c>
      <c r="R21" s="224">
        <f ca="1">R22+R23</f>
        <v>1669691</v>
      </c>
      <c r="S21" s="224">
        <f ca="1">S22+S23</f>
        <v>1289010.92</v>
      </c>
      <c r="T21" s="224">
        <f ca="1">IF(Q21&gt;0,S21*100/Q21,0)</f>
        <v>76.681589665964907</v>
      </c>
      <c r="U21" s="224">
        <f ca="1">IF(R21&gt;0,S21*100/R21,0)</f>
        <v>77.200567051029196</v>
      </c>
    </row>
    <row r="22" spans="1:21" ht="18.75" hidden="1" x14ac:dyDescent="0.25">
      <c r="A22" s="39"/>
      <c r="B22" s="40"/>
      <c r="C22" s="40"/>
      <c r="D22" s="40"/>
      <c r="E22" s="156" t="s">
        <v>20</v>
      </c>
      <c r="F22" s="40"/>
      <c r="G22" s="42"/>
      <c r="H22" s="765" t="s">
        <v>14</v>
      </c>
      <c r="I22" s="44"/>
      <c r="J22" s="44"/>
      <c r="K22" s="45"/>
      <c r="L22" s="546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8.75" hidden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545">
        <f ca="1">L49+L64+L77+L99+L122+L144+L162+L191+L178+L271+L287+L308+L325+L338+L361+L380+L418+L498+L518+L539+L560+L581+L604+L621+L647+L695+L719+L733+L765</f>
        <v>2801650</v>
      </c>
      <c r="M23" s="224">
        <f ca="1">M49+M64+M77+M99+M122+M144+M162+M191+M178+M271+M287+M308+M325+M338+M361+M380+M418+M498+M518+M539+M560+M581+M604+M621+M647+M695+M719+M733+M765</f>
        <v>3224338</v>
      </c>
      <c r="N23" s="224">
        <f ca="1">N49+N64+N77+N99+N122+N144+N162+N191+N178+N271+N287+N308+N325+N338+N361+N380+N418+N498+N518+N539+N560+N581+N604+N621+N647+N695+N719+N733+N765</f>
        <v>2856752.94</v>
      </c>
      <c r="O23" s="224">
        <f ca="1">IF(L23&gt;0,N23*100/L23,0)</f>
        <v>101.96680313386754</v>
      </c>
      <c r="P23" s="224">
        <f ca="1">IF(M23&gt;0,N23*100/M23,0)</f>
        <v>88.599673483363091</v>
      </c>
      <c r="Q23" s="224">
        <f ca="1">Q77+Q99+Q122+Q144+Q162+Q178+Q191+Q271+Q287+Q308+Q338+Q380+Q397+Q418+Q498+Q604+Q621+Q647+Q695+Q719+Q733+Q765</f>
        <v>1680991.3900000001</v>
      </c>
      <c r="R23" s="224">
        <f ca="1">R77+R99+R122+R144+R162+R178+R191+R271+R287+R308+R338+R380+R397+R418+R498+R604+R621+R647+R695+R719+R733+R765</f>
        <v>1669691</v>
      </c>
      <c r="S23" s="224">
        <f ca="1">S77+S99+S122+S144+S162+S178+S191+S271+S287+S308+S338+S380+S397+S418+S498+S604+S621+S647+S695+S719+S733+S765</f>
        <v>1289010.92</v>
      </c>
      <c r="T23" s="224">
        <f ca="1">IF(Q23&gt;0,S23*100/Q23,0)</f>
        <v>76.681589665964907</v>
      </c>
      <c r="U23" s="224">
        <f ca="1">IF(R23&gt;0,S23*100/R23,0)</f>
        <v>77.200567051029196</v>
      </c>
    </row>
    <row r="24" spans="1:21" ht="18.75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545">
        <f ca="1">L25+L26</f>
        <v>0</v>
      </c>
      <c r="M24" s="224">
        <f ca="1">M25+M26</f>
        <v>320000</v>
      </c>
      <c r="N24" s="224">
        <f ca="1">N25+N26</f>
        <v>320000</v>
      </c>
      <c r="O24" s="224">
        <f ca="1">IF(L24&gt;0,N24*100/L24,0)</f>
        <v>0</v>
      </c>
      <c r="P24" s="224">
        <f ca="1">IF(M24&gt;0,N24*100/M24,0)</f>
        <v>100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8.75" hidden="1" x14ac:dyDescent="0.25">
      <c r="A25" s="39"/>
      <c r="B25" s="40"/>
      <c r="C25" s="40"/>
      <c r="D25" s="40"/>
      <c r="E25" s="156" t="s">
        <v>20</v>
      </c>
      <c r="F25" s="40"/>
      <c r="G25" s="42"/>
      <c r="H25" s="765" t="s">
        <v>14</v>
      </c>
      <c r="I25" s="44"/>
      <c r="J25" s="44"/>
      <c r="K25" s="45"/>
      <c r="L25" s="546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8.75" hidden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545">
        <f ca="1">L52+L67+L80+L102+L125+L147+L165+L194+L181+L274+L290+L311+L328+L341+L364+L383+L421+L501+L521+L542+L563+L584+L607+L624+L650+L698+L722+L736+L768</f>
        <v>0</v>
      </c>
      <c r="M26" s="224">
        <f ca="1">M52+M67+M80+M102+M125+M147+M165+M194+M181+M274+M290+M311+M328+M341+M364+M383+M421+M501+M521+M542+M563+M584+M607+M624+M650+M698+M722+M736+M768</f>
        <v>320000</v>
      </c>
      <c r="N26" s="224">
        <f ca="1">N52+N67+N80+N102+N125+N147+N165+N194+N181+N274+N290+N311+N328+N341+N364+N383+N421+N501+N521+N542+N563+N584+N607+N624+N650+N698+N722+N736+N768</f>
        <v>320000</v>
      </c>
      <c r="O26" s="224">
        <f ca="1">IF(L26&gt;0,N26*100/L26,0)</f>
        <v>0</v>
      </c>
      <c r="P26" s="224">
        <f ca="1">IF(M26&gt;0,N26*100/M26,0)</f>
        <v>100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8.75" hidden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543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8.75" hidden="1" x14ac:dyDescent="0.25">
      <c r="A28" s="39"/>
      <c r="B28" s="40"/>
      <c r="C28" s="40"/>
      <c r="D28" s="40"/>
      <c r="E28" s="156" t="s">
        <v>20</v>
      </c>
      <c r="F28" s="40"/>
      <c r="G28" s="42"/>
      <c r="H28" s="765" t="s">
        <v>14</v>
      </c>
      <c r="I28" s="44"/>
      <c r="J28" s="44"/>
      <c r="K28" s="45"/>
      <c r="L28" s="543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8.75" hidden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541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793"/>
      <c r="B30" s="514"/>
      <c r="C30" s="514"/>
      <c r="D30" s="514"/>
      <c r="E30" s="514"/>
      <c r="F30" s="514"/>
      <c r="G30" s="515"/>
      <c r="H30" s="14"/>
      <c r="I30" s="15"/>
      <c r="J30" s="15"/>
      <c r="K30" s="16"/>
      <c r="L30" s="792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682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682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682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682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682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682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682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682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792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hidden="1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791">
        <f ca="1">L44+L59+L72+L94+L125+L139+L157+L173+L186+L266+L282+L303+L320+L333+L356</f>
        <v>2670160</v>
      </c>
      <c r="M40" s="790">
        <f ca="1">M44+M59+M72+M94+M125+M139+M157+M173+M186+M266+M282+M303+M320+M333+M356</f>
        <v>3412848</v>
      </c>
      <c r="N40" s="790">
        <f ca="1">N44+N59+N72+N94+N125+N139+N157+N173+N186+N266+N282+N303+N320+N333+N356</f>
        <v>3070248.03</v>
      </c>
      <c r="O40" s="790">
        <f ca="1">IF(L40&gt;0,N40*100/L40,0)</f>
        <v>114.98367251400666</v>
      </c>
      <c r="P40" s="790">
        <f ca="1">IF(M40&gt;0,N40*100/M40,0)</f>
        <v>89.961464149590014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789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788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682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87" t="s">
        <v>18</v>
      </c>
      <c r="D44" s="786" t="s">
        <v>19</v>
      </c>
      <c r="E44" s="71"/>
      <c r="F44" s="71"/>
      <c r="G44" s="74"/>
      <c r="H44" s="75" t="s">
        <v>14</v>
      </c>
      <c r="I44" s="76"/>
      <c r="J44" s="76"/>
      <c r="K44" s="77"/>
      <c r="L44" s="785">
        <f ca="1">L45+L46</f>
        <v>575700</v>
      </c>
      <c r="M44" s="784">
        <f ca="1">M45+M46</f>
        <v>655017</v>
      </c>
      <c r="N44" s="784">
        <f ca="1">N45+N46</f>
        <v>594257</v>
      </c>
      <c r="O44" s="784">
        <f ca="1">IF(L44&gt;0,N44*100/L44,0)</f>
        <v>103.22338023276012</v>
      </c>
      <c r="P44" s="784">
        <f ca="1">IF(M44&gt;0,N44*100/M44,0)</f>
        <v>90.723904875751316</v>
      </c>
      <c r="Q44" s="784">
        <f>Q45+Q46</f>
        <v>0</v>
      </c>
      <c r="R44" s="784">
        <f>R45+R46</f>
        <v>0</v>
      </c>
      <c r="S44" s="784">
        <f>S45+S46</f>
        <v>0</v>
      </c>
      <c r="T44" s="784">
        <f>IF(Q44&gt;0,S44*100/Q44,0)</f>
        <v>0</v>
      </c>
      <c r="U44" s="784">
        <f>IF(R44&gt;0,S44*100/R44,0)</f>
        <v>0</v>
      </c>
    </row>
    <row r="45" spans="1:21" ht="18.75" hidden="1" x14ac:dyDescent="0.25">
      <c r="A45" s="70"/>
      <c r="B45" s="71"/>
      <c r="C45" s="71"/>
      <c r="D45" s="71"/>
      <c r="E45" s="783" t="s">
        <v>20</v>
      </c>
      <c r="F45" s="71"/>
      <c r="G45" s="74"/>
      <c r="H45" s="782" t="s">
        <v>14</v>
      </c>
      <c r="I45" s="76"/>
      <c r="J45" s="76"/>
      <c r="K45" s="77"/>
      <c r="L45" s="781">
        <f>L48+L51</f>
        <v>0</v>
      </c>
      <c r="M45" s="780">
        <f>M48+M51</f>
        <v>0</v>
      </c>
      <c r="N45" s="780">
        <f>N48+N51</f>
        <v>0</v>
      </c>
      <c r="O45" s="780">
        <f>IF(L45&gt;0,N45*100/L45,0)</f>
        <v>0</v>
      </c>
      <c r="P45" s="780">
        <f>IF(M45&gt;0,N45*100/M45,0)</f>
        <v>0</v>
      </c>
      <c r="Q45" s="780">
        <f>Q48+Q51</f>
        <v>0</v>
      </c>
      <c r="R45" s="780">
        <f>R48+R51</f>
        <v>0</v>
      </c>
      <c r="S45" s="780">
        <f>S48+S51</f>
        <v>0</v>
      </c>
      <c r="T45" s="780">
        <f>IF(Q45&gt;0,S45*100/Q45,0)</f>
        <v>0</v>
      </c>
      <c r="U45" s="780">
        <f>IF(R45&gt;0,S45*100/R45,0)</f>
        <v>0</v>
      </c>
    </row>
    <row r="46" spans="1:21" ht="18.75" hidden="1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779">
        <f ca="1">L49+L52</f>
        <v>575700</v>
      </c>
      <c r="M46" s="778">
        <f ca="1">M49+M52</f>
        <v>655017</v>
      </c>
      <c r="N46" s="778">
        <f ca="1">N49+N52</f>
        <v>594257</v>
      </c>
      <c r="O46" s="778">
        <f ca="1">IF(L46&gt;0,N46*100/L46,0)</f>
        <v>103.22338023276012</v>
      </c>
      <c r="P46" s="778">
        <f ca="1">IF(M46&gt;0,N46*100/M46,0)</f>
        <v>90.723904875751316</v>
      </c>
      <c r="Q46" s="778">
        <f>Q49+Q52</f>
        <v>0</v>
      </c>
      <c r="R46" s="778">
        <f>R49+R52</f>
        <v>0</v>
      </c>
      <c r="S46" s="778">
        <f>S49+S52</f>
        <v>0</v>
      </c>
      <c r="T46" s="778">
        <f>IF(Q46&gt;0,S46*100/Q46,0)</f>
        <v>0</v>
      </c>
      <c r="U46" s="778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545">
        <f ca="1">L48+L49</f>
        <v>575700</v>
      </c>
      <c r="M47" s="224">
        <f ca="1">M48+M49</f>
        <v>655017</v>
      </c>
      <c r="N47" s="224">
        <f ca="1">N48+N49</f>
        <v>594257</v>
      </c>
      <c r="O47" s="224">
        <f ca="1">IF(L47&gt;0,N47*100/L47,0)</f>
        <v>103.22338023276012</v>
      </c>
      <c r="P47" s="224">
        <f ca="1">IF(M47&gt;0,N47*100/M47,0)</f>
        <v>90.723904875751316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hidden="1" x14ac:dyDescent="0.25">
      <c r="A48" s="39"/>
      <c r="B48" s="40"/>
      <c r="C48" s="40"/>
      <c r="D48" s="40"/>
      <c r="E48" s="156" t="s">
        <v>20</v>
      </c>
      <c r="F48" s="40"/>
      <c r="G48" s="42"/>
      <c r="H48" s="765" t="s">
        <v>14</v>
      </c>
      <c r="I48" s="44"/>
      <c r="J48" s="44"/>
      <c r="K48" s="45"/>
      <c r="L48" s="546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hidden="1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545">
        <f ca="1">IFERROR(__xludf.DUMMYFUNCTION("IMPORTRANGE(""https://docs.google.com/spreadsheets/d/1-uDff_7J0KD5mKrp0Vvzr7lt3OU09vwQwhkpOPPYv2Y/edit?usp=sharing"",""งบพรบ!P21"")"),575700)</f>
        <v>575700</v>
      </c>
      <c r="M49" s="224">
        <f ca="1">IFERROR(__xludf.DUMMYFUNCTION("IMPORTRANGE(""https://docs.google.com/spreadsheets/d/1-uDff_7J0KD5mKrp0Vvzr7lt3OU09vwQwhkpOPPYv2Y/edit?usp=sharing"",""งบพรบ!V21"")"),655017)</f>
        <v>655017</v>
      </c>
      <c r="N49" s="224">
        <f ca="1">IFERROR(__xludf.DUMMYFUNCTION("IMPORTRANGE(""https://docs.google.com/spreadsheets/d/1-uDff_7J0KD5mKrp0Vvzr7lt3OU09vwQwhkpOPPYv2Y/edit?usp=sharing"",""งบพรบ!Y21"")"),594257)</f>
        <v>594257</v>
      </c>
      <c r="O49" s="224">
        <f ca="1">IF(L49&gt;0,N49*100/L49,0)</f>
        <v>103.22338023276012</v>
      </c>
      <c r="P49" s="224">
        <f ca="1">IF(M49&gt;0,N49*100/M49,0)</f>
        <v>90.723904875751316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545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hidden="1" x14ac:dyDescent="0.25">
      <c r="A51" s="39"/>
      <c r="B51" s="40"/>
      <c r="C51" s="40"/>
      <c r="D51" s="40"/>
      <c r="E51" s="156" t="s">
        <v>20</v>
      </c>
      <c r="F51" s="40"/>
      <c r="G51" s="42"/>
      <c r="H51" s="765" t="s">
        <v>14</v>
      </c>
      <c r="I51" s="44"/>
      <c r="J51" s="44"/>
      <c r="K51" s="45"/>
      <c r="L51" s="546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hidden="1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545">
        <f ca="1">IFERROR(__xludf.DUMMYFUNCTION("IMPORTRANGE(""https://docs.google.com/spreadsheets/d/1-uDff_7J0KD5mKrp0Vvzr7lt3OU09vwQwhkpOPPYv2Y/edit?usp=sharing"",""งบพรบ!S21"")"),0)</f>
        <v>0</v>
      </c>
      <c r="M52" s="224">
        <f ca="1">IFERROR(__xludf.DUMMYFUNCTION("IMPORTRANGE(""https://docs.google.com/spreadsheets/d/1-uDff_7J0KD5mKrp0Vvzr7lt3OU09vwQwhkpOPPYv2Y/edit?usp=sharing"",""งบพรบ!W21"")"),0)</f>
        <v>0</v>
      </c>
      <c r="N52" s="224">
        <f ca="1">IFERROR(__xludf.DUMMYFUNCTION("IMPORTRANGE(""https://docs.google.com/spreadsheets/d/1-uDff_7J0KD5mKrp0Vvzr7lt3OU09vwQwhkpOPPYv2Y/edit?usp=sharing"",""งบพรบ!Z21"")"),0)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hidden="1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543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hidden="1" x14ac:dyDescent="0.25">
      <c r="A54" s="39"/>
      <c r="B54" s="40"/>
      <c r="C54" s="40"/>
      <c r="D54" s="40"/>
      <c r="E54" s="156" t="s">
        <v>20</v>
      </c>
      <c r="F54" s="40"/>
      <c r="G54" s="42"/>
      <c r="H54" s="765" t="s">
        <v>14</v>
      </c>
      <c r="I54" s="44"/>
      <c r="J54" s="44"/>
      <c r="K54" s="45"/>
      <c r="L54" s="543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hidden="1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541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535" t="s">
        <v>28</v>
      </c>
      <c r="B56" s="514"/>
      <c r="C56" s="514"/>
      <c r="D56" s="514"/>
      <c r="E56" s="514"/>
      <c r="F56" s="514"/>
      <c r="G56" s="515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36" t="s">
        <v>29</v>
      </c>
      <c r="C57" s="526"/>
      <c r="D57" s="526"/>
      <c r="E57" s="526"/>
      <c r="F57" s="526"/>
      <c r="G57" s="527"/>
      <c r="H57" s="89"/>
      <c r="I57" s="90"/>
      <c r="J57" s="90"/>
      <c r="K57" s="91"/>
      <c r="L57" s="777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76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75" t="s">
        <v>18</v>
      </c>
      <c r="D59" s="774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73">
        <f ca="1">L60+L61</f>
        <v>668600</v>
      </c>
      <c r="M59" s="772">
        <f ca="1">M60+M61</f>
        <v>988600</v>
      </c>
      <c r="N59" s="772">
        <f ca="1">N60+N61</f>
        <v>947443.92</v>
      </c>
      <c r="O59" s="772">
        <f ca="1">IF(L59&gt;0,N59*100/L59,0)</f>
        <v>141.70564163924618</v>
      </c>
      <c r="P59" s="772">
        <f ca="1">IF(M59&gt;0,N59*100/M59,0)</f>
        <v>95.836933036617438</v>
      </c>
      <c r="Q59" s="772">
        <f>Q60+Q61</f>
        <v>0</v>
      </c>
      <c r="R59" s="772">
        <f>R60+R61</f>
        <v>0</v>
      </c>
      <c r="S59" s="772">
        <f>S60+S61</f>
        <v>0</v>
      </c>
      <c r="T59" s="772">
        <f>IF(Q59&gt;0,S59*100/Q59,0)</f>
        <v>0</v>
      </c>
      <c r="U59" s="772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71" t="s">
        <v>20</v>
      </c>
      <c r="F60" s="99"/>
      <c r="G60" s="102"/>
      <c r="H60" s="770" t="s">
        <v>14</v>
      </c>
      <c r="I60" s="104"/>
      <c r="J60" s="104"/>
      <c r="K60" s="105"/>
      <c r="L60" s="769">
        <f>L63+L66</f>
        <v>0</v>
      </c>
      <c r="M60" s="768">
        <f>M63+M66</f>
        <v>0</v>
      </c>
      <c r="N60" s="768">
        <f>N63+N66</f>
        <v>0</v>
      </c>
      <c r="O60" s="768">
        <f>IF(L60&gt;0,N60*100/L60,0)</f>
        <v>0</v>
      </c>
      <c r="P60" s="768">
        <f>IF(M60&gt;0,N60*100/M60,0)</f>
        <v>0</v>
      </c>
      <c r="Q60" s="768">
        <f>Q63+Q66</f>
        <v>0</v>
      </c>
      <c r="R60" s="768">
        <f>R63+R66</f>
        <v>0</v>
      </c>
      <c r="S60" s="768">
        <f>S63+S66</f>
        <v>0</v>
      </c>
      <c r="T60" s="768">
        <f>IF(Q60&gt;0,S60*100/Q60,0)</f>
        <v>0</v>
      </c>
      <c r="U60" s="768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67">
        <f ca="1">L64+L67</f>
        <v>668600</v>
      </c>
      <c r="M61" s="766">
        <f ca="1">M64+M67</f>
        <v>988600</v>
      </c>
      <c r="N61" s="766">
        <f ca="1">N64+N67</f>
        <v>947443.92</v>
      </c>
      <c r="O61" s="766">
        <f ca="1">IF(L61&gt;0,N61*100/L61,0)</f>
        <v>141.70564163924618</v>
      </c>
      <c r="P61" s="766">
        <f ca="1">IF(M61&gt;0,N61*100/M61,0)</f>
        <v>95.836933036617438</v>
      </c>
      <c r="Q61" s="766">
        <f>Q64+Q67</f>
        <v>0</v>
      </c>
      <c r="R61" s="766">
        <f>R64+R67</f>
        <v>0</v>
      </c>
      <c r="S61" s="766">
        <f>S64+S67</f>
        <v>0</v>
      </c>
      <c r="T61" s="766">
        <f>IF(Q61&gt;0,S61*100/Q61,0)</f>
        <v>0</v>
      </c>
      <c r="U61" s="766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545">
        <f ca="1">L63+L64</f>
        <v>668600</v>
      </c>
      <c r="M62" s="224">
        <f ca="1">M63+M64</f>
        <v>668600</v>
      </c>
      <c r="N62" s="224">
        <f ca="1">N63+N64</f>
        <v>627443.92000000004</v>
      </c>
      <c r="O62" s="224">
        <f ca="1">IF(L62&gt;0,N62*100/L62,0)</f>
        <v>93.844439126533061</v>
      </c>
      <c r="P62" s="224">
        <f ca="1">IF(M62&gt;0,N62*100/M62,0)</f>
        <v>93.844439126533061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hidden="1" x14ac:dyDescent="0.25">
      <c r="A63" s="39"/>
      <c r="B63" s="40"/>
      <c r="C63" s="40"/>
      <c r="D63" s="40"/>
      <c r="E63" s="156" t="s">
        <v>20</v>
      </c>
      <c r="F63" s="40"/>
      <c r="G63" s="42"/>
      <c r="H63" s="765" t="s">
        <v>14</v>
      </c>
      <c r="I63" s="44"/>
      <c r="J63" s="44"/>
      <c r="K63" s="45"/>
      <c r="L63" s="546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hidden="1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545">
        <f ca="1">IFERROR(__xludf.DUMMYFUNCTION("IMPORTRANGE(""https://docs.google.com/spreadsheets/d/1-uDff_7J0KD5mKrp0Vvzr7lt3OU09vwQwhkpOPPYv2Y/edit?usp=sharing"",""งบพรบ!AC21"")"),668600)</f>
        <v>668600</v>
      </c>
      <c r="M64" s="224">
        <f ca="1">IFERROR(__xludf.DUMMYFUNCTION("IMPORTRANGE(""https://docs.google.com/spreadsheets/d/1-uDff_7J0KD5mKrp0Vvzr7lt3OU09vwQwhkpOPPYv2Y/edit?usp=sharing"",""งบพรบ!AH21"")"),668600)</f>
        <v>668600</v>
      </c>
      <c r="N64" s="224">
        <f ca="1">IFERROR(__xludf.DUMMYFUNCTION("IMPORTRANGE(""https://docs.google.com/spreadsheets/d/1-uDff_7J0KD5mKrp0Vvzr7lt3OU09vwQwhkpOPPYv2Y/edit?usp=sharing"",""งบพรบ!AJ21"")"),627443.92)</f>
        <v>627443.92000000004</v>
      </c>
      <c r="O64" s="224">
        <f ca="1">IF(L64&gt;0,N64*100/L64,0)</f>
        <v>93.844439126533061</v>
      </c>
      <c r="P64" s="224">
        <f ca="1">IF(M64&gt;0,N64*100/M64,0)</f>
        <v>93.844439126533061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545">
        <f ca="1">L66+L67</f>
        <v>0</v>
      </c>
      <c r="M65" s="224">
        <f ca="1">M66+M67</f>
        <v>320000</v>
      </c>
      <c r="N65" s="224">
        <f ca="1">N66+N67</f>
        <v>320000</v>
      </c>
      <c r="O65" s="224">
        <f ca="1">IF(L65&gt;0,N65*100/L65,0)</f>
        <v>0</v>
      </c>
      <c r="P65" s="224">
        <f ca="1">IF(M65&gt;0,N65*100/M65,0)</f>
        <v>100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hidden="1" x14ac:dyDescent="0.25">
      <c r="A66" s="39"/>
      <c r="B66" s="40"/>
      <c r="C66" s="40"/>
      <c r="D66" s="40"/>
      <c r="E66" s="156" t="s">
        <v>20</v>
      </c>
      <c r="F66" s="40"/>
      <c r="G66" s="42"/>
      <c r="H66" s="765" t="s">
        <v>14</v>
      </c>
      <c r="I66" s="44"/>
      <c r="J66" s="44"/>
      <c r="K66" s="45"/>
      <c r="L66" s="546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hidden="1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764">
        <f ca="1">IFERROR(__xludf.DUMMYFUNCTION("IMPORTRANGE(""https://docs.google.com/spreadsheets/d/1-uDff_7J0KD5mKrp0Vvzr7lt3OU09vwQwhkpOPPYv2Y/edit?usp=sharing"",""งบพรบ!AF21"")"),0)</f>
        <v>0</v>
      </c>
      <c r="M67" s="508">
        <f ca="1">IFERROR(__xludf.DUMMYFUNCTION("IMPORTRANGE(""https://docs.google.com/spreadsheets/d/1-uDff_7J0KD5mKrp0Vvzr7lt3OU09vwQwhkpOPPYv2Y/edit?usp=sharing"",""งบพรบ!AI21"")"),320000)</f>
        <v>320000</v>
      </c>
      <c r="N67" s="508">
        <f ca="1">IFERROR(__xludf.DUMMYFUNCTION("IMPORTRANGE(""https://docs.google.com/spreadsheets/d/1-uDff_7J0KD5mKrp0Vvzr7lt3OU09vwQwhkpOPPYv2Y/edit?usp=sharing"",""งบพรบ!AK21"")"),320000)</f>
        <v>320000</v>
      </c>
      <c r="O67" s="508">
        <f ca="1">IF(L67&gt;0,N67*100/L67,0)</f>
        <v>0</v>
      </c>
      <c r="P67" s="508">
        <f ca="1">IF(M67&gt;0,N67*100/M67,0)</f>
        <v>100</v>
      </c>
      <c r="Q67" s="508">
        <v>0</v>
      </c>
      <c r="R67" s="508">
        <v>0</v>
      </c>
      <c r="S67" s="508">
        <v>0</v>
      </c>
      <c r="T67" s="508">
        <f>IF(Q67&gt;0,S67*100/Q67,0)</f>
        <v>0</v>
      </c>
      <c r="U67" s="50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6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756">
        <f ca="1">I82</f>
        <v>0</v>
      </c>
      <c r="J70" s="756">
        <f>J82</f>
        <v>0</v>
      </c>
      <c r="K70" s="755">
        <f ca="1">IF(I70&gt;0,J70*100/I70,0)</f>
        <v>0</v>
      </c>
      <c r="L70" s="592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hidden="1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756">
        <f ca="1">I83</f>
        <v>0</v>
      </c>
      <c r="J71" s="756">
        <f>J83</f>
        <v>0</v>
      </c>
      <c r="K71" s="755">
        <f ca="1">IF(I71&gt;0,J71*100/I71,0)</f>
        <v>0</v>
      </c>
      <c r="L71" s="592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hidden="1" x14ac:dyDescent="0.3">
      <c r="A72" s="128"/>
      <c r="B72" s="40"/>
      <c r="C72" s="129" t="s">
        <v>18</v>
      </c>
      <c r="D72" s="600" t="s">
        <v>19</v>
      </c>
      <c r="E72" s="40"/>
      <c r="F72" s="40"/>
      <c r="G72" s="42"/>
      <c r="H72" s="131" t="s">
        <v>14</v>
      </c>
      <c r="I72" s="44"/>
      <c r="J72" s="44"/>
      <c r="K72" s="45"/>
      <c r="L72" s="548">
        <f ca="1">L73+L74</f>
        <v>0</v>
      </c>
      <c r="M72" s="547">
        <f ca="1">M73+M74</f>
        <v>0</v>
      </c>
      <c r="N72" s="547">
        <f ca="1">N73+N74</f>
        <v>0</v>
      </c>
      <c r="O72" s="547">
        <f ca="1">IF(L72&gt;0,N72*100/L72,0)</f>
        <v>0</v>
      </c>
      <c r="P72" s="547">
        <f ca="1">IF(M72&gt;0,N72*100/M72,0)</f>
        <v>0</v>
      </c>
      <c r="Q72" s="547">
        <f ca="1">Q73+Q74</f>
        <v>0</v>
      </c>
      <c r="R72" s="547">
        <f ca="1">R73+R74</f>
        <v>0</v>
      </c>
      <c r="S72" s="547">
        <f ca="1">S73+S74</f>
        <v>0</v>
      </c>
      <c r="T72" s="547">
        <f ca="1">IF(Q72&gt;0,S72*100/Q72,0)</f>
        <v>0</v>
      </c>
      <c r="U72" s="547">
        <f ca="1">IF(R72&gt;0,S72*100/R72,0)</f>
        <v>0</v>
      </c>
    </row>
    <row r="73" spans="1:21" ht="18.75" hidden="1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546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hidden="1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545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hidden="1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545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hidden="1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546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hidden="1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545">
        <f ca="1">IFERROR(__xludf.DUMMYFUNCTION("IMPORTRANGE(""https://docs.google.com/spreadsheets/d/1-uDff_7J0KD5mKrp0Vvzr7lt3OU09vwQwhkpOPPYv2Y/edit?usp=sharing"",""งบพรบ!AM21"")"),0)</f>
        <v>0</v>
      </c>
      <c r="M77" s="224">
        <f ca="1">IFERROR(__xludf.DUMMYFUNCTION("IMPORTRANGE(""https://docs.google.com/spreadsheets/d/1-uDff_7J0KD5mKrp0Vvzr7lt3OU09vwQwhkpOPPYv2Y/edit?usp=sharing"",""งบพรบ!AR21"")"),0)</f>
        <v>0</v>
      </c>
      <c r="N77" s="224">
        <f ca="1">IFERROR(__xludf.DUMMYFUNCTION("IMPORTRANGE(""https://docs.google.com/spreadsheets/d/1-uDff_7J0KD5mKrp0Vvzr7lt3OU09vwQwhkpOPPYv2Y/edit?usp=sharing"",""งบพรบ!AT21"")"),0)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IFERROR(__xludf.DUMMYFUNCTION("IMPORTRANGE(""https://docs.google.com/spreadsheets/d/1ItG2mGa2ceCfYo0BwxsXqNm01IGEUdYcSSLTEv9YCik/edit?usp=sharing"",""เบิกจ่ายกองทุน!BH21"")"),0)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IFERROR(__xludf.DUMMYFUNCTION("IMPORTRANGE(""https://docs.google.com/spreadsheets/d/1ItG2mGa2ceCfYo0BwxsXqNm01IGEUdYcSSLTEv9YCik/edit?usp=sharing"",""เบิกจ่ายกองทุน!BI21"")"),0)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IFERROR(__xludf.DUMMYFUNCTION("IMPORTRANGE(""https://docs.google.com/spreadsheets/d/1ItG2mGa2ceCfYo0BwxsXqNm01IGEUdYcSSLTEv9YCik/edit?usp=sharing"",""เบิกจ่ายกองทุน!BJ21"")"),0)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hidden="1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545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hidden="1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546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hidden="1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545">
        <f ca="1">IFERROR(__xludf.DUMMYFUNCTION("IMPORTRANGE(""https://docs.google.com/spreadsheets/d/1-uDff_7J0KD5mKrp0Vvzr7lt3OU09vwQwhkpOPPYv2Y/edit?usp=sharing"",""งบพรบ!AP21"")"),0)</f>
        <v>0</v>
      </c>
      <c r="M80" s="224">
        <f ca="1">IFERROR(__xludf.DUMMYFUNCTION("IMPORTRANGE(""https://docs.google.com/spreadsheets/d/1-uDff_7J0KD5mKrp0Vvzr7lt3OU09vwQwhkpOPPYv2Y/edit?usp=sharing"",""งบพรบ!AS21"")"),0)</f>
        <v>0</v>
      </c>
      <c r="N80" s="224">
        <f ca="1">IFERROR(__xludf.DUMMYFUNCTION("IMPORTRANGE(""https://docs.google.com/spreadsheets/d/1-uDff_7J0KD5mKrp0Vvzr7lt3OU09vwQwhkpOPPYv2Y/edit?usp=sharing"",""งบพรบ!AU21"")"),0)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IFERROR(__xludf.DUMMYFUNCTION("IMPORTRANGE(""https://docs.google.com/spreadsheets/d/1ItG2mGa2ceCfYo0BwxsXqNm01IGEUdYcSSLTEv9YCik/edit?usp=sharing"",""เบิกจ่ายกองทุน!BK21"")"),0)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IFERROR(__xludf.DUMMYFUNCTION("IMPORTRANGE(""https://docs.google.com/spreadsheets/d/1ItG2mGa2ceCfYo0BwxsXqNm01IGEUdYcSSLTEv9YCik/edit?usp=sharing"",""เบิกจ่ายกองทุน!BL21"")"),0)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IFERROR(__xludf.DUMMYFUNCTION("IMPORTRANGE(""https://docs.google.com/spreadsheets/d/1ItG2mGa2ceCfYo0BwxsXqNm01IGEUdYcSSLTEv9YCik/edit?usp=sharing"",""เบิกจ่ายกองทุน!BM21"")"),0)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70" t="s">
        <v>38</v>
      </c>
      <c r="E81" s="141"/>
      <c r="F81" s="141"/>
      <c r="G81" s="142"/>
      <c r="H81" s="143"/>
      <c r="I81" s="135"/>
      <c r="J81" s="135"/>
      <c r="K81" s="136"/>
      <c r="L81" s="563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38">
        <f ca="1">I84+I86+I88</f>
        <v>0</v>
      </c>
      <c r="J82" s="338">
        <f>J84+J86+J88</f>
        <v>0</v>
      </c>
      <c r="K82" s="694">
        <f ca="1">IF(I82&gt;0,J82*100/I82,0)</f>
        <v>0</v>
      </c>
      <c r="L82" s="563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38">
        <f ca="1">I85+I87+I89</f>
        <v>0</v>
      </c>
      <c r="J83" s="338">
        <f>J85+J87+J89</f>
        <v>0</v>
      </c>
      <c r="K83" s="694">
        <f ca="1">IF(I83&gt;0,J83*100/I83,0)</f>
        <v>0</v>
      </c>
      <c r="L83" s="563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693">
        <f ca="1">IFERROR(__xludf.DUMMYFUNCTION("IMPORTRANGE(""https://docs.google.com/spreadsheets/d/1eHaY18a8A9IcSdp1K8H6x8fbOy06t2VsZHhMHf-1x7Y/edit?usp=sharing"",""แผน!H21"")"),0)</f>
        <v>0</v>
      </c>
      <c r="J84" s="380">
        <v>0</v>
      </c>
      <c r="K84" s="569">
        <f ca="1">IF(I84&gt;0,J84*100/I84,0)</f>
        <v>0</v>
      </c>
      <c r="L84" s="563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693">
        <f ca="1">IFERROR(__xludf.DUMMYFUNCTION("IMPORTRANGE(""https://docs.google.com/spreadsheets/d/1eHaY18a8A9IcSdp1K8H6x8fbOy06t2VsZHhMHf-1x7Y/edit?usp=sharing"",""แผน!I21"")"),0)</f>
        <v>0</v>
      </c>
      <c r="J85" s="380">
        <v>0</v>
      </c>
      <c r="K85" s="569">
        <f ca="1">IF(I85&gt;0,J85*100/I85,0)</f>
        <v>0</v>
      </c>
      <c r="L85" s="563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693">
        <f ca="1">IFERROR(__xludf.DUMMYFUNCTION("IMPORTRANGE(""https://docs.google.com/spreadsheets/d/1eHaY18a8A9IcSdp1K8H6x8fbOy06t2VsZHhMHf-1x7Y/edit?usp=sharing"",""แผน!F21"")"),0)</f>
        <v>0</v>
      </c>
      <c r="J86" s="380">
        <v>0</v>
      </c>
      <c r="K86" s="569">
        <f ca="1">IF(I86&gt;0,J86*100/I86,0)</f>
        <v>0</v>
      </c>
      <c r="L86" s="563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693">
        <f ca="1">IFERROR(__xludf.DUMMYFUNCTION("IMPORTRANGE(""https://docs.google.com/spreadsheets/d/1eHaY18a8A9IcSdp1K8H6x8fbOy06t2VsZHhMHf-1x7Y/edit?usp=sharing"",""แผน!G21"")"),0)</f>
        <v>0</v>
      </c>
      <c r="J87" s="380">
        <v>0</v>
      </c>
      <c r="K87" s="569">
        <f ca="1">IF(I87&gt;0,J87*100/I87,0)</f>
        <v>0</v>
      </c>
      <c r="L87" s="563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693">
        <f ca="1">IFERROR(__xludf.DUMMYFUNCTION("IMPORTRANGE(""https://docs.google.com/spreadsheets/d/1eHaY18a8A9IcSdp1K8H6x8fbOy06t2VsZHhMHf-1x7Y/edit?usp=sharing"",""แผน!D21"")"),0)</f>
        <v>0</v>
      </c>
      <c r="J88" s="380">
        <v>0</v>
      </c>
      <c r="K88" s="569">
        <f ca="1">IF(I88&gt;0,J88*100/I88,0)</f>
        <v>0</v>
      </c>
      <c r="L88" s="563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693">
        <f ca="1">IFERROR(__xludf.DUMMYFUNCTION("IMPORTRANGE(""https://docs.google.com/spreadsheets/d/1eHaY18a8A9IcSdp1K8H6x8fbOy06t2VsZHhMHf-1x7Y/edit?usp=sharing"",""แผน!E21"")"),0)</f>
        <v>0</v>
      </c>
      <c r="J89" s="380">
        <v>0</v>
      </c>
      <c r="K89" s="569">
        <f ca="1">IF(I89&gt;0,J89*100/I89,0)</f>
        <v>0</v>
      </c>
      <c r="L89" s="563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693">
        <f ca="1">IFERROR(__xludf.DUMMYFUNCTION("IMPORTRANGE(""https://docs.google.com/spreadsheets/d/1eHaY18a8A9IcSdp1K8H6x8fbOy06t2VsZHhMHf-1x7Y/edit?usp=sharing"",""แผน!J21"")"),0)</f>
        <v>0</v>
      </c>
      <c r="J90" s="380">
        <v>0</v>
      </c>
      <c r="K90" s="569">
        <f ca="1">IF(I90&gt;0,J90*100/I90,0)</f>
        <v>0</v>
      </c>
      <c r="L90" s="563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6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756">
        <f ca="1">I108</f>
        <v>30</v>
      </c>
      <c r="J92" s="756">
        <f>J108</f>
        <v>30</v>
      </c>
      <c r="K92" s="755">
        <f ca="1">IF(I92&gt;0,J92*100/I92,0)</f>
        <v>100</v>
      </c>
      <c r="L92" s="592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756">
        <f ca="1">I109</f>
        <v>10</v>
      </c>
      <c r="J93" s="756">
        <f>J109</f>
        <v>10</v>
      </c>
      <c r="K93" s="755">
        <f ca="1">IF(I93&gt;0,J93*100/I93,0)</f>
        <v>100</v>
      </c>
      <c r="L93" s="592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374" t="s">
        <v>18</v>
      </c>
      <c r="D94" s="600" t="s">
        <v>19</v>
      </c>
      <c r="E94" s="40"/>
      <c r="F94" s="40"/>
      <c r="G94" s="42"/>
      <c r="H94" s="131" t="s">
        <v>14</v>
      </c>
      <c r="I94" s="44"/>
      <c r="J94" s="44"/>
      <c r="K94" s="45"/>
      <c r="L94" s="548">
        <f ca="1">L95+L96</f>
        <v>6000</v>
      </c>
      <c r="M94" s="547">
        <f ca="1">M95+M96</f>
        <v>6000</v>
      </c>
      <c r="N94" s="547">
        <f ca="1">N95+N96</f>
        <v>6000</v>
      </c>
      <c r="O94" s="547">
        <f ca="1">IF(L94&gt;0,N94*100/L94,0)</f>
        <v>100</v>
      </c>
      <c r="P94" s="547">
        <f ca="1">IF(M94&gt;0,N94*100/M94,0)</f>
        <v>100</v>
      </c>
      <c r="Q94" s="547">
        <f ca="1">Q95+Q96</f>
        <v>84420</v>
      </c>
      <c r="R94" s="547">
        <f ca="1">R95+R96</f>
        <v>84420</v>
      </c>
      <c r="S94" s="547">
        <f ca="1">S95+S96</f>
        <v>53930</v>
      </c>
      <c r="T94" s="547">
        <f ca="1">IF(Q94&gt;0,S94*100/Q94,0)</f>
        <v>63.882966121772093</v>
      </c>
      <c r="U94" s="547">
        <f ca="1">IF(R94&gt;0,S94*100/R94,0)</f>
        <v>63.882966121772093</v>
      </c>
    </row>
    <row r="95" spans="1:21" ht="18.75" hidden="1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546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hidden="1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545">
        <f ca="1">L99+L102</f>
        <v>6000</v>
      </c>
      <c r="M96" s="224">
        <f ca="1">M99+M102</f>
        <v>6000</v>
      </c>
      <c r="N96" s="224">
        <f ca="1">N99+N102</f>
        <v>6000</v>
      </c>
      <c r="O96" s="224">
        <f ca="1">IF(L96&gt;0,N96*100/L96,0)</f>
        <v>100</v>
      </c>
      <c r="P96" s="224">
        <f ca="1">IF(M96&gt;0,N96*100/M96,0)</f>
        <v>100</v>
      </c>
      <c r="Q96" s="224">
        <f ca="1">Q99+Q102</f>
        <v>84420</v>
      </c>
      <c r="R96" s="224">
        <f ca="1">R99+R102</f>
        <v>84420</v>
      </c>
      <c r="S96" s="224">
        <f ca="1">S99+S102</f>
        <v>53930</v>
      </c>
      <c r="T96" s="224">
        <f ca="1">IF(Q96&gt;0,S96*100/Q96,0)</f>
        <v>63.882966121772093</v>
      </c>
      <c r="U96" s="224">
        <f ca="1">IF(R96&gt;0,S96*100/R96,0)</f>
        <v>63.882966121772093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545">
        <f ca="1">L98+L99</f>
        <v>6000</v>
      </c>
      <c r="M97" s="224">
        <f ca="1">M98+M99</f>
        <v>6000</v>
      </c>
      <c r="N97" s="224">
        <f ca="1">N98+N99</f>
        <v>6000</v>
      </c>
      <c r="O97" s="224">
        <f ca="1">IF(L97&gt;0,N97*100/L97,0)</f>
        <v>100</v>
      </c>
      <c r="P97" s="224">
        <f ca="1">IF(M97&gt;0,N97*100/M97,0)</f>
        <v>100</v>
      </c>
      <c r="Q97" s="224">
        <f ca="1">Q98+Q99</f>
        <v>84420</v>
      </c>
      <c r="R97" s="224">
        <f ca="1">R98+R99</f>
        <v>84420</v>
      </c>
      <c r="S97" s="224">
        <f ca="1">S98+S99</f>
        <v>53930</v>
      </c>
      <c r="T97" s="224">
        <f ca="1">IF(Q97&gt;0,S97*100/Q97,0)</f>
        <v>63.882966121772093</v>
      </c>
      <c r="U97" s="224">
        <f ca="1">IF(R97&gt;0,S97*100/R97,0)</f>
        <v>63.882966121772093</v>
      </c>
    </row>
    <row r="98" spans="1:21" ht="18.75" hidden="1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546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hidden="1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545">
        <f ca="1">IFERROR(__xludf.DUMMYFUNCTION("IMPORTRANGE(""https://docs.google.com/spreadsheets/d/1-uDff_7J0KD5mKrp0Vvzr7lt3OU09vwQwhkpOPPYv2Y/edit?usp=sharing"",""งบพรบ!AW21"")"),6000)</f>
        <v>6000</v>
      </c>
      <c r="M99" s="224">
        <f ca="1">IFERROR(__xludf.DUMMYFUNCTION("IMPORTRANGE(""https://docs.google.com/spreadsheets/d/1-uDff_7J0KD5mKrp0Vvzr7lt3OU09vwQwhkpOPPYv2Y/edit?usp=sharing"",""งบพรบ!BB21"")"),6000)</f>
        <v>6000</v>
      </c>
      <c r="N99" s="224">
        <f ca="1">IFERROR(__xludf.DUMMYFUNCTION("IMPORTRANGE(""https://docs.google.com/spreadsheets/d/1-uDff_7J0KD5mKrp0Vvzr7lt3OU09vwQwhkpOPPYv2Y/edit?usp=sharing"",""งบพรบ!BD21"")"),6000)</f>
        <v>6000</v>
      </c>
      <c r="O99" s="224">
        <f ca="1">IF(L99&gt;0,N99*100/L99,0)</f>
        <v>100</v>
      </c>
      <c r="P99" s="224">
        <f ca="1">IF(M99&gt;0,N99*100/M99,0)</f>
        <v>100</v>
      </c>
      <c r="Q99" s="224">
        <f ca="1">IFERROR(__xludf.DUMMYFUNCTION("IMPORTRANGE(""https://docs.google.com/spreadsheets/d/1ItG2mGa2ceCfYo0BwxsXqNm01IGEUdYcSSLTEv9YCik/edit?usp=sharing"",""เบิกจ่ายกองทุน!AJ21"")"),84420)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IFERROR(__xludf.DUMMYFUNCTION("IMPORTRANGE(""https://docs.google.com/spreadsheets/d/1ItG2mGa2ceCfYo0BwxsXqNm01IGEUdYcSSLTEv9YCik/edit?usp=sharing"",""เบิกจ่ายกองทุน!AK21"")"),84420)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IFERROR(__xludf.DUMMYFUNCTION("IMPORTRANGE(""https://docs.google.com/spreadsheets/d/1ItG2mGa2ceCfYo0BwxsXqNm01IGEUdYcSSLTEv9YCik/edit?usp=sharing"",""เบิกจ่ายกองทุน!AL21"")"),53930)</f>
        <v>53930</v>
      </c>
      <c r="T99" s="224">
        <f ca="1">IF(Q99&gt;0,S99*100/Q99,0)</f>
        <v>63.882966121772093</v>
      </c>
      <c r="U99" s="224">
        <f ca="1">IF(R99&gt;0,S99*100/R99,0)</f>
        <v>63.882966121772093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545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hidden="1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546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hidden="1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545">
        <f ca="1">IFERROR(__xludf.DUMMYFUNCTION("IMPORTRANGE(""https://docs.google.com/spreadsheets/d/1-uDff_7J0KD5mKrp0Vvzr7lt3OU09vwQwhkpOPPYv2Y/edit?usp=sharing"",""งบพรบ!AZ21"")"),0)</f>
        <v>0</v>
      </c>
      <c r="M102" s="224">
        <f ca="1">IFERROR(__xludf.DUMMYFUNCTION("IMPORTRANGE(""https://docs.google.com/spreadsheets/d/1-uDff_7J0KD5mKrp0Vvzr7lt3OU09vwQwhkpOPPYv2Y/edit?usp=sharing"",""งบพรบ!BC21"")"),0)</f>
        <v>0</v>
      </c>
      <c r="N102" s="224">
        <f ca="1">IFERROR(__xludf.DUMMYFUNCTION("IMPORTRANGE(""https://docs.google.com/spreadsheets/d/1-uDff_7J0KD5mKrp0Vvzr7lt3OU09vwQwhkpOPPYv2Y/edit?usp=sharing"",""งบพรบ!BE21"")"),0)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374" t="s">
        <v>18</v>
      </c>
      <c r="D103" s="570" t="s">
        <v>38</v>
      </c>
      <c r="E103" s="141"/>
      <c r="F103" s="141"/>
      <c r="G103" s="142"/>
      <c r="H103" s="143"/>
      <c r="I103" s="135"/>
      <c r="J103" s="44"/>
      <c r="K103" s="45"/>
      <c r="L103" s="543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682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682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682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543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IFERROR(__xludf.DUMMYFUNCTION("IMPORTRANGE(""https://docs.google.com/spreadsheets/d/1eHaY18a8A9IcSdp1K8H6x8fbOy06t2VsZHhMHf-1x7Y/edit?usp=sharing"",""แผน!N21"")"),30)</f>
        <v>30</v>
      </c>
      <c r="J108" s="380">
        <v>30</v>
      </c>
      <c r="K108" s="224">
        <f ca="1">IF(I108&gt;0,J108*100/I108,0)</f>
        <v>100</v>
      </c>
      <c r="L108" s="543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IFERROR(__xludf.DUMMYFUNCTION("IMPORTRANGE(""https://docs.google.com/spreadsheets/d/1eHaY18a8A9IcSdp1K8H6x8fbOy06t2VsZHhMHf-1x7Y/edit?usp=sharing"",""แผน!O21"")"),10)</f>
        <v>10</v>
      </c>
      <c r="J109" s="380">
        <v>10</v>
      </c>
      <c r="K109" s="224">
        <f ca="1">IF(I109&gt;0,J109*100/I109,0)</f>
        <v>100</v>
      </c>
      <c r="L109" s="543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682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682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682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553"/>
      <c r="B113" s="491"/>
      <c r="C113" s="491"/>
      <c r="D113" s="309" t="s">
        <v>50</v>
      </c>
      <c r="E113" s="493"/>
      <c r="F113" s="493"/>
      <c r="G113" s="494"/>
      <c r="H113" s="859" t="s">
        <v>46</v>
      </c>
      <c r="I113" s="858">
        <f ca="1">IFERROR(__xludf.DUMMYFUNCTION("IMPORTRANGE(""https://docs.google.com/spreadsheets/d/1eHaY18a8A9IcSdp1K8H6x8fbOy06t2VsZHhMHf-1x7Y/edit?usp=sharing"",""แผน!N21"")"),30)</f>
        <v>30</v>
      </c>
      <c r="J113" s="377">
        <v>30</v>
      </c>
      <c r="K113" s="376">
        <f ca="1">IF(I113&gt;0,J113*100/I113,0)</f>
        <v>100</v>
      </c>
      <c r="L113" s="314"/>
      <c r="M113" s="314"/>
      <c r="N113" s="314"/>
      <c r="O113" s="497"/>
      <c r="P113" s="497"/>
      <c r="Q113" s="314"/>
      <c r="R113" s="314"/>
      <c r="S113" s="314"/>
      <c r="T113" s="497"/>
      <c r="U113" s="497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693">
        <f ca="1">IFERROR(__xludf.DUMMYFUNCTION("IMPORTRANGE(""https://docs.google.com/spreadsheets/d/1eHaY18a8A9IcSdp1K8H6x8fbOy06t2VsZHhMHf-1x7Y/edit?usp=sharing"",""แผน!O21"")"),10)</f>
        <v>10</v>
      </c>
      <c r="J114" s="380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762" t="s">
        <v>51</v>
      </c>
      <c r="B115" s="759"/>
      <c r="C115" s="761"/>
      <c r="D115" s="760"/>
      <c r="E115" s="760"/>
      <c r="F115" s="760"/>
      <c r="G115" s="760"/>
      <c r="H115" s="759"/>
      <c r="I115" s="758"/>
      <c r="J115" s="758"/>
      <c r="K115" s="757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756">
        <f ca="1">I127</f>
        <v>20</v>
      </c>
      <c r="J116" s="756">
        <f>J127</f>
        <v>20</v>
      </c>
      <c r="K116" s="755">
        <f ca="1">IF(I116&gt;0,J116*100/I116,0)</f>
        <v>100</v>
      </c>
      <c r="L116" s="592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374" t="s">
        <v>18</v>
      </c>
      <c r="D117" s="60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548">
        <f ca="1">L118+L119</f>
        <v>0</v>
      </c>
      <c r="M117" s="547">
        <f ca="1">M118+M119</f>
        <v>0</v>
      </c>
      <c r="N117" s="547">
        <f ca="1">N118+N119</f>
        <v>0</v>
      </c>
      <c r="O117" s="547">
        <f ca="1">IF(L117&gt;0,N117*100/L117,0)</f>
        <v>0</v>
      </c>
      <c r="P117" s="547">
        <f ca="1">IF(M117&gt;0,N117*100/M117,0)</f>
        <v>0</v>
      </c>
      <c r="Q117" s="547">
        <f ca="1">Q118+Q119</f>
        <v>209360</v>
      </c>
      <c r="R117" s="547">
        <f ca="1">R118+R119</f>
        <v>209360</v>
      </c>
      <c r="S117" s="547">
        <f ca="1">S118+S119</f>
        <v>132357.01</v>
      </c>
      <c r="T117" s="547">
        <f ca="1">IF(Q117&gt;0,S117*100/Q117,0)</f>
        <v>63.219817539166982</v>
      </c>
      <c r="U117" s="547">
        <f ca="1">IF(R117&gt;0,S117*100/R117,0)</f>
        <v>63.219817539166982</v>
      </c>
    </row>
    <row r="118" spans="1:21" ht="18.75" hidden="1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546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hidden="1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545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132357.01</v>
      </c>
      <c r="T119" s="224">
        <f ca="1">IF(Q119&gt;0,S119*100/Q119,0)</f>
        <v>63.219817539166982</v>
      </c>
      <c r="U119" s="224">
        <f ca="1">IF(R119&gt;0,S119*100/R119,0)</f>
        <v>63.219817539166982</v>
      </c>
    </row>
    <row r="120" spans="1:21" ht="18.75" x14ac:dyDescent="0.25">
      <c r="A120" s="128"/>
      <c r="B120" s="158"/>
      <c r="C120" s="174"/>
      <c r="D120" s="628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545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132357.01</v>
      </c>
      <c r="T120" s="224">
        <f ca="1">IF(Q120&gt;0,S120*100/Q120,0)</f>
        <v>63.219817539166982</v>
      </c>
      <c r="U120" s="224">
        <f ca="1">IF(R120&gt;0,S120*100/R120,0)</f>
        <v>63.219817539166982</v>
      </c>
    </row>
    <row r="121" spans="1:21" ht="18.75" hidden="1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546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hidden="1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545">
        <f ca="1">IFERROR(__xludf.DUMMYFUNCTION("IMPORTRANGE(""https://docs.google.com/spreadsheets/d/1-uDff_7J0KD5mKrp0Vvzr7lt3OU09vwQwhkpOPPYv2Y/edit?usp=sharing"",""งบพรบ!BG21"")"),0)</f>
        <v>0</v>
      </c>
      <c r="M122" s="224">
        <f ca="1">IFERROR(__xludf.DUMMYFUNCTION("IMPORTRANGE(""https://docs.google.com/spreadsheets/d/1-uDff_7J0KD5mKrp0Vvzr7lt3OU09vwQwhkpOPPYv2Y/edit?usp=sharing"",""งบพรบ!BL21"")"),0)</f>
        <v>0</v>
      </c>
      <c r="N122" s="224">
        <f ca="1">IFERROR(__xludf.DUMMYFUNCTION("IMPORTRANGE(""https://docs.google.com/spreadsheets/d/1-uDff_7J0KD5mKrp0Vvzr7lt3OU09vwQwhkpOPPYv2Y/edit?usp=sharing"",""งบพรบ!BN21"")"),0)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IFERROR(__xludf.DUMMYFUNCTION("IMPORTRANGE(""https://docs.google.com/spreadsheets/d/1ItG2mGa2ceCfYo0BwxsXqNm01IGEUdYcSSLTEv9YCik/edit?usp=sharing"",""เบิกจ่ายกองทุน!U21"")"),209360)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IFERROR(__xludf.DUMMYFUNCTION("IMPORTRANGE(""https://docs.google.com/spreadsheets/d/1ItG2mGa2ceCfYo0BwxsXqNm01IGEUdYcSSLTEv9YCik/edit?usp=sharing"",""เบิกจ่ายกองทุน!V21"")"),209360)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IFERROR(__xludf.DUMMYFUNCTION("IMPORTRANGE(""https://docs.google.com/spreadsheets/d/1ItG2mGa2ceCfYo0BwxsXqNm01IGEUdYcSSLTEv9YCik/edit?usp=sharing"",""เบิกจ่ายกองทุน!W21"")"),132357.01)</f>
        <v>132357.01</v>
      </c>
      <c r="T122" s="224">
        <f ca="1">IF(Q122&gt;0,S122*100/Q122,0)</f>
        <v>63.219817539166982</v>
      </c>
      <c r="U122" s="224">
        <f ca="1">IF(R122&gt;0,S122*100/R122,0)</f>
        <v>63.219817539166982</v>
      </c>
    </row>
    <row r="123" spans="1:21" ht="18.75" x14ac:dyDescent="0.25">
      <c r="A123" s="128"/>
      <c r="B123" s="40"/>
      <c r="C123" s="174"/>
      <c r="D123" s="628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545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hidden="1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546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hidden="1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545">
        <f ca="1">IFERROR(__xludf.DUMMYFUNCTION("IMPORTRANGE(""https://docs.google.com/spreadsheets/d/1-uDff_7J0KD5mKrp0Vvzr7lt3OU09vwQwhkpOPPYv2Y/edit?usp=sharing"",""งบพรบ!BJ21"")"),0)</f>
        <v>0</v>
      </c>
      <c r="M125" s="224">
        <f ca="1">IFERROR(__xludf.DUMMYFUNCTION("IMPORTRANGE(""https://docs.google.com/spreadsheets/d/1-uDff_7J0KD5mKrp0Vvzr7lt3OU09vwQwhkpOPPYv2Y/edit?usp=sharing"",""งบพรบ!BM21"")"),0)</f>
        <v>0</v>
      </c>
      <c r="N125" s="224">
        <f ca="1">IFERROR(__xludf.DUMMYFUNCTION("IMPORTRANGE(""https://docs.google.com/spreadsheets/d/1-uDff_7J0KD5mKrp0Vvzr7lt3OU09vwQwhkpOPPYv2Y/edit?usp=sharing"",""งบพรบ!BO21"")"),0)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IFERROR(__xludf.DUMMYFUNCTION("IMPORTRANGE(""https://docs.google.com/spreadsheets/d/1ItG2mGa2ceCfYo0BwxsXqNm01IGEUdYcSSLTEv9YCik/edit?usp=sharing"",""เบิกจ่ายกองทุน!X21"")"),0)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IFERROR(__xludf.DUMMYFUNCTION("IMPORTRANGE(""https://docs.google.com/spreadsheets/d/1ItG2mGa2ceCfYo0BwxsXqNm01IGEUdYcSSLTEv9YCik/edit?usp=sharing"",""เบิกจ่ายกองทุน!Y21"")"),0)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IFERROR(__xludf.DUMMYFUNCTION("IMPORTRANGE(""https://docs.google.com/spreadsheets/d/1ItG2mGa2ceCfYo0BwxsXqNm01IGEUdYcSSLTEv9YCik/edit?usp=sharing"",""เบิกจ่ายกองทุน!Z21"")"),0)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374" t="s">
        <v>18</v>
      </c>
      <c r="D126" s="570" t="s">
        <v>38</v>
      </c>
      <c r="E126" s="141"/>
      <c r="F126" s="141"/>
      <c r="G126" s="142"/>
      <c r="H126" s="178"/>
      <c r="I126" s="44"/>
      <c r="J126" s="44"/>
      <c r="K126" s="45"/>
      <c r="L126" s="543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IFERROR(__xludf.DUMMYFUNCTION("IMPORTRANGE(""https://docs.google.com/spreadsheets/d/1eHaY18a8A9IcSdp1K8H6x8fbOy06t2VsZHhMHf-1x7Y/edit?usp=sharing"",""แผน!FF21"")"),20)</f>
        <v>20</v>
      </c>
      <c r="J127" s="380">
        <v>20</v>
      </c>
      <c r="K127" s="224">
        <f ca="1">IF(I127&gt;0,J127*100/I127,0)</f>
        <v>100</v>
      </c>
      <c r="L127" s="543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IFERROR(__xludf.DUMMYFUNCTION("IMPORTRANGE(""https://docs.google.com/spreadsheets/d/1eHaY18a8A9IcSdp1K8H6x8fbOy06t2VsZHhMHf-1x7Y/edit?usp=sharing"",""แผน!FG21"")"),1)</f>
        <v>1</v>
      </c>
      <c r="J128" s="380">
        <v>1</v>
      </c>
      <c r="K128" s="224">
        <f ca="1">IF(I128&gt;0,J128*100/I128,0)</f>
        <v>100</v>
      </c>
      <c r="L128" s="543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IFERROR(__xludf.DUMMYFUNCTION("IMPORTRANGE(""https://docs.google.com/spreadsheets/d/1eHaY18a8A9IcSdp1K8H6x8fbOy06t2VsZHhMHf-1x7Y/edit?usp=sharing"",""แผน!FH21"")"),20)</f>
        <v>20</v>
      </c>
      <c r="J129" s="380">
        <v>20</v>
      </c>
      <c r="K129" s="224">
        <f ca="1">IF(I129&gt;0,J129*100/I129,0)</f>
        <v>100</v>
      </c>
      <c r="L129" s="543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IFERROR(__xludf.DUMMYFUNCTION("IMPORTRANGE(""https://docs.google.com/spreadsheets/d/1eHaY18a8A9IcSdp1K8H6x8fbOy06t2VsZHhMHf-1x7Y/edit?usp=sharing"",""แผน!FI21"")"),1)</f>
        <v>1</v>
      </c>
      <c r="J130" s="380">
        <v>1</v>
      </c>
      <c r="K130" s="224">
        <f ca="1">IF(I130&gt;0,J130*100/I130,0)</f>
        <v>100</v>
      </c>
      <c r="L130" s="543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hidden="1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543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hidden="1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543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682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hidden="1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592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hidden="1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756">
        <f ca="1">I154</f>
        <v>0</v>
      </c>
      <c r="J136" s="756">
        <f>J154</f>
        <v>0</v>
      </c>
      <c r="K136" s="755">
        <f ca="1">IF(I136&gt;0,J136*100/I136,0)</f>
        <v>0</v>
      </c>
      <c r="L136" s="592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hidden="1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756">
        <f ca="1">I152</f>
        <v>0</v>
      </c>
      <c r="J137" s="756">
        <f>J152</f>
        <v>0</v>
      </c>
      <c r="K137" s="755">
        <f ca="1">IF(I137&gt;0,J137*100/I137,0)</f>
        <v>0</v>
      </c>
      <c r="L137" s="592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hidden="1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756">
        <f ca="1">I153</f>
        <v>0</v>
      </c>
      <c r="J138" s="756">
        <f>J153</f>
        <v>0</v>
      </c>
      <c r="K138" s="755">
        <f ca="1">IF(I138&gt;0,J138*100/I138,0)</f>
        <v>0</v>
      </c>
      <c r="L138" s="592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hidden="1" x14ac:dyDescent="0.3">
      <c r="A139" s="128"/>
      <c r="B139" s="40"/>
      <c r="C139" s="129" t="s">
        <v>18</v>
      </c>
      <c r="D139" s="60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548">
        <f ca="1">L140+L141</f>
        <v>0</v>
      </c>
      <c r="M139" s="547">
        <f ca="1">M140+M141</f>
        <v>0</v>
      </c>
      <c r="N139" s="547">
        <f ca="1">N140+N141</f>
        <v>0</v>
      </c>
      <c r="O139" s="547">
        <f ca="1">IF(L139&gt;0,N139*100/L139,0)</f>
        <v>0</v>
      </c>
      <c r="P139" s="547">
        <f ca="1">IF(M139&gt;0,N139*100/M139,0)</f>
        <v>0</v>
      </c>
      <c r="Q139" s="547">
        <f ca="1">Q140+Q141</f>
        <v>0</v>
      </c>
      <c r="R139" s="547">
        <f ca="1">R140+R141</f>
        <v>0</v>
      </c>
      <c r="S139" s="547">
        <f ca="1">S140+S141</f>
        <v>0</v>
      </c>
      <c r="T139" s="547">
        <f ca="1">IF(Q139&gt;0,S139*100/Q139,0)</f>
        <v>0</v>
      </c>
      <c r="U139" s="547">
        <f ca="1">IF(R139&gt;0,S139*100/R139,0)</f>
        <v>0</v>
      </c>
    </row>
    <row r="140" spans="1:21" ht="18.75" hidden="1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546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hidden="1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545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hidden="1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545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hidden="1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546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hidden="1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545">
        <f ca="1">IFERROR(__xludf.DUMMYFUNCTION("IMPORTRANGE(""https://docs.google.com/spreadsheets/d/1-uDff_7J0KD5mKrp0Vvzr7lt3OU09vwQwhkpOPPYv2Y/edit?usp=sharing"",""งบพรบ!BQ21"")"),0)</f>
        <v>0</v>
      </c>
      <c r="M144" s="224">
        <f ca="1">IFERROR(__xludf.DUMMYFUNCTION("IMPORTRANGE(""https://docs.google.com/spreadsheets/d/1-uDff_7J0KD5mKrp0Vvzr7lt3OU09vwQwhkpOPPYv2Y/edit?usp=sharing"",""งบพรบ!BV21"")"),0)</f>
        <v>0</v>
      </c>
      <c r="N144" s="224">
        <f ca="1">IFERROR(__xludf.DUMMYFUNCTION("IMPORTRANGE(""https://docs.google.com/spreadsheets/d/1-uDff_7J0KD5mKrp0Vvzr7lt3OU09vwQwhkpOPPYv2Y/edit?usp=sharing"",""งบพรบ!BX21"")"),0)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IFERROR(__xludf.DUMMYFUNCTION("IMPORTRANGE(""https://docs.google.com/spreadsheets/d/1ItG2mGa2ceCfYo0BwxsXqNm01IGEUdYcSSLTEv9YCik/edit?usp=sharing"",""เบิกจ่ายกองทุน!CF21"")"),0)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IFERROR(__xludf.DUMMYFUNCTION("IMPORTRANGE(""https://docs.google.com/spreadsheets/d/1ItG2mGa2ceCfYo0BwxsXqNm01IGEUdYcSSLTEv9YCik/edit?usp=sharing"",""เบิกจ่ายกองทุน!CG21"")"),0)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IFERROR(__xludf.DUMMYFUNCTION("IMPORTRANGE(""https://docs.google.com/spreadsheets/d/1ItG2mGa2ceCfYo0BwxsXqNm01IGEUdYcSSLTEv9YCik/edit?usp=sharing"",""เบิกจ่ายกองทุน!CH21"")"),0)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hidden="1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545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hidden="1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546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hidden="1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545">
        <f ca="1">IFERROR(__xludf.DUMMYFUNCTION("IMPORTRANGE(""https://docs.google.com/spreadsheets/d/1-uDff_7J0KD5mKrp0Vvzr7lt3OU09vwQwhkpOPPYv2Y/edit?usp=sharing"",""งบพรบ!BT21"")"),0)</f>
        <v>0</v>
      </c>
      <c r="M147" s="224">
        <f ca="1">IFERROR(__xludf.DUMMYFUNCTION("IMPORTRANGE(""https://docs.google.com/spreadsheets/d/1-uDff_7J0KD5mKrp0Vvzr7lt3OU09vwQwhkpOPPYv2Y/edit?usp=sharing"",""งบพรบ!BW21"")"),0)</f>
        <v>0</v>
      </c>
      <c r="N147" s="224">
        <f ca="1">IFERROR(__xludf.DUMMYFUNCTION("IMPORTRANGE(""https://docs.google.com/spreadsheets/d/1-uDff_7J0KD5mKrp0Vvzr7lt3OU09vwQwhkpOPPYv2Y/edit?usp=sharing"",""งบพรบ!BY21"")"),0)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IFERROR(__xludf.DUMMYFUNCTION("IMPORTRANGE(""https://docs.google.com/spreadsheets/d/1ItG2mGa2ceCfYo0BwxsXqNm01IGEUdYcSSLTEv9YCik/edit?usp=sharing"",""เบิกจ่ายกองทุน!CI21"")"),0)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IFERROR(__xludf.DUMMYFUNCTION("IMPORTRANGE(""https://docs.google.com/spreadsheets/d/1ItG2mGa2ceCfYo0BwxsXqNm01IGEUdYcSSLTEv9YCik/edit?usp=sharing"",""เบิกจ่ายกองทุน!CJ21"")"),0)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IFERROR(__xludf.DUMMYFUNCTION("IMPORTRANGE(""https://docs.google.com/spreadsheets/d/1ItG2mGa2ceCfYo0BwxsXqNm01IGEUdYcSSLTEv9YCik/edit?usp=sharing"",""เบิกจ่ายกองทุน!CK21"")"),0)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70" t="s">
        <v>38</v>
      </c>
      <c r="E148" s="141"/>
      <c r="F148" s="141"/>
      <c r="G148" s="142"/>
      <c r="H148" s="178"/>
      <c r="I148" s="44"/>
      <c r="J148" s="44"/>
      <c r="K148" s="45"/>
      <c r="L148" s="543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hidden="1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380">
        <v>0</v>
      </c>
      <c r="K149" s="45"/>
      <c r="L149" s="543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hidden="1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IFERROR(__xludf.DUMMYFUNCTION("IMPORTRANGE(""https://docs.google.com/spreadsheets/d/1eHaY18a8A9IcSdp1K8H6x8fbOy06t2VsZHhMHf-1x7Y/edit?usp=sharing"",""แผน!U21"")"),0)</f>
        <v>0</v>
      </c>
      <c r="J150" s="380">
        <v>0</v>
      </c>
      <c r="K150" s="224">
        <f ca="1">IF(I150&gt;0,J150*100/I150,0)</f>
        <v>0</v>
      </c>
      <c r="L150" s="543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hidden="1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IFERROR(__xludf.DUMMYFUNCTION("IMPORTRANGE(""https://docs.google.com/spreadsheets/d/1eHaY18a8A9IcSdp1K8H6x8fbOy06t2VsZHhMHf-1x7Y/edit?usp=sharing"",""แผน!V21"")"),0)</f>
        <v>0</v>
      </c>
      <c r="J151" s="380">
        <v>0</v>
      </c>
      <c r="K151" s="224">
        <f ca="1">IF(I151&gt;0,J151*100/I151,0)</f>
        <v>0</v>
      </c>
      <c r="L151" s="543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hidden="1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IFERROR(__xludf.DUMMYFUNCTION("IMPORTRANGE(""https://docs.google.com/spreadsheets/d/1eHaY18a8A9IcSdp1K8H6x8fbOy06t2VsZHhMHf-1x7Y/edit?usp=sharing"",""แผน!W21"")"),0)</f>
        <v>0</v>
      </c>
      <c r="J152" s="380">
        <v>0</v>
      </c>
      <c r="K152" s="224">
        <f ca="1">IF(I152&gt;0,J152*100/I152,0)</f>
        <v>0</v>
      </c>
      <c r="L152" s="543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hidden="1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IFERROR(__xludf.DUMMYFUNCTION("IMPORTRANGE(""https://docs.google.com/spreadsheets/d/1eHaY18a8A9IcSdp1K8H6x8fbOy06t2VsZHhMHf-1x7Y/edit?usp=sharing"",""แผน!X21"")"),0)</f>
        <v>0</v>
      </c>
      <c r="J153" s="380">
        <v>0</v>
      </c>
      <c r="K153" s="224">
        <f ca="1">IF(I153&gt;0,J153*100/I153,0)</f>
        <v>0</v>
      </c>
      <c r="L153" s="543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hidden="1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IFERROR(__xludf.DUMMYFUNCTION("IMPORTRANGE(""https://docs.google.com/spreadsheets/d/1eHaY18a8A9IcSdp1K8H6x8fbOy06t2VsZHhMHf-1x7Y/edit?usp=sharing"",""แผน!Y21"")"),0)</f>
        <v>0</v>
      </c>
      <c r="J154" s="380">
        <v>0</v>
      </c>
      <c r="K154" s="224">
        <f ca="1">IF(I154&gt;0,J154*100/I154,0)</f>
        <v>0</v>
      </c>
      <c r="L154" s="543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756">
        <f ca="1">I169</f>
        <v>0</v>
      </c>
      <c r="J156" s="756">
        <f>J169</f>
        <v>0</v>
      </c>
      <c r="K156" s="755">
        <f ca="1">IF(I156&gt;0,J156*100/I156,0)</f>
        <v>0</v>
      </c>
      <c r="L156" s="592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374" t="s">
        <v>18</v>
      </c>
      <c r="D157" s="60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548">
        <f ca="1">L158+L159</f>
        <v>0</v>
      </c>
      <c r="M157" s="547">
        <f ca="1">M158+M159</f>
        <v>1796</v>
      </c>
      <c r="N157" s="547">
        <f ca="1">N158+N159</f>
        <v>1796</v>
      </c>
      <c r="O157" s="547">
        <f ca="1">IF(L157&gt;0,N157*100/L157,0)</f>
        <v>0</v>
      </c>
      <c r="P157" s="547">
        <f ca="1">IF(M157&gt;0,N157*100/M157,0)</f>
        <v>100</v>
      </c>
      <c r="Q157" s="547">
        <f ca="1">Q158+Q159</f>
        <v>0</v>
      </c>
      <c r="R157" s="547">
        <f ca="1">R158+R159</f>
        <v>0</v>
      </c>
      <c r="S157" s="547">
        <f ca="1">S158+S159</f>
        <v>0</v>
      </c>
      <c r="T157" s="547">
        <f ca="1">IF(Q157&gt;0,S157*100/Q157,0)</f>
        <v>0</v>
      </c>
      <c r="U157" s="547">
        <f ca="1">IF(R157&gt;0,S157*100/R157,0)</f>
        <v>0</v>
      </c>
    </row>
    <row r="158" spans="1:21" ht="18.75" hidden="1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546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hidden="1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545">
        <f ca="1">L162+L165</f>
        <v>0</v>
      </c>
      <c r="M159" s="224">
        <f ca="1">M162+M165</f>
        <v>1796</v>
      </c>
      <c r="N159" s="224">
        <f ca="1">N162+N165</f>
        <v>1796</v>
      </c>
      <c r="O159" s="224">
        <f ca="1">IF(L159&gt;0,N159*100/L159,0)</f>
        <v>0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545">
        <f ca="1">L161+L162</f>
        <v>0</v>
      </c>
      <c r="M160" s="224">
        <f ca="1">M161+M162</f>
        <v>1796</v>
      </c>
      <c r="N160" s="224">
        <f ca="1">N161+N162</f>
        <v>1796</v>
      </c>
      <c r="O160" s="224">
        <f ca="1">IF(L160&gt;0,N160*100/L160,0)</f>
        <v>0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hidden="1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546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hidden="1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545">
        <f ca="1">IFERROR(__xludf.DUMMYFUNCTION("IMPORTRANGE(""https://docs.google.com/spreadsheets/d/1-uDff_7J0KD5mKrp0Vvzr7lt3OU09vwQwhkpOPPYv2Y/edit?usp=sharing"",""งบพรบ!CA21"")"),0)</f>
        <v>0</v>
      </c>
      <c r="M162" s="224">
        <f ca="1">IFERROR(__xludf.DUMMYFUNCTION("IMPORTRANGE(""https://docs.google.com/spreadsheets/d/1-uDff_7J0KD5mKrp0Vvzr7lt3OU09vwQwhkpOPPYv2Y/edit?usp=sharing"",""งบพรบ!CF21"")"),1796)</f>
        <v>1796</v>
      </c>
      <c r="N162" s="224">
        <f ca="1">IFERROR(__xludf.DUMMYFUNCTION("IMPORTRANGE(""https://docs.google.com/spreadsheets/d/1-uDff_7J0KD5mKrp0Vvzr7lt3OU09vwQwhkpOPPYv2Y/edit?usp=sharing"",""งบพรบ!CH21"")"),1796)</f>
        <v>1796</v>
      </c>
      <c r="O162" s="224">
        <f ca="1">IF(L162&gt;0,N162*100/L162,0)</f>
        <v>0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IFERROR(__xludf.DUMMYFUNCTION("IMPORTRANGE(""https://docs.google.com/spreadsheets/d/1ItG2mGa2ceCfYo0BwxsXqNm01IGEUdYcSSLTEv9YCik/edit?usp=sharing"",""เบิกจ่ายกองทุน!AM21"")"),0)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IFERROR(__xludf.DUMMYFUNCTION("IMPORTRANGE(""https://docs.google.com/spreadsheets/d/1ItG2mGa2ceCfYo0BwxsXqNm01IGEUdYcSSLTEv9YCik/edit?usp=sharing"",""เบิกจ่ายกองทุน!AN21"")"),0)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IFERROR(__xludf.DUMMYFUNCTION("IMPORTRANGE(""https://docs.google.com/spreadsheets/d/1ItG2mGa2ceCfYo0BwxsXqNm01IGEUdYcSSLTEv9YCik/edit?usp=sharing"",""เบิกจ่ายกองทุน!AO21"")"),0)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545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hidden="1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546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hidden="1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545">
        <f ca="1">IFERROR(__xludf.DUMMYFUNCTION("IMPORTRANGE(""https://docs.google.com/spreadsheets/d/1-uDff_7J0KD5mKrp0Vvzr7lt3OU09vwQwhkpOPPYv2Y/edit?usp=sharing"",""งบพรบ!CD21"")"),0)</f>
        <v>0</v>
      </c>
      <c r="M165" s="224">
        <f ca="1">IFERROR(__xludf.DUMMYFUNCTION("IMPORTRANGE(""https://docs.google.com/spreadsheets/d/1-uDff_7J0KD5mKrp0Vvzr7lt3OU09vwQwhkpOPPYv2Y/edit?usp=sharing"",""งบพรบ!CG21"")"),0)</f>
        <v>0</v>
      </c>
      <c r="N165" s="224">
        <f ca="1">IFERROR(__xludf.DUMMYFUNCTION("IMPORTRANGE(""https://docs.google.com/spreadsheets/d/1-uDff_7J0KD5mKrp0Vvzr7lt3OU09vwQwhkpOPPYv2Y/edit?usp=sharing"",""งบพรบ!CI21"")"),0)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374" t="s">
        <v>18</v>
      </c>
      <c r="D166" s="570" t="s">
        <v>38</v>
      </c>
      <c r="E166" s="141"/>
      <c r="F166" s="141"/>
      <c r="G166" s="142"/>
      <c r="H166" s="178"/>
      <c r="I166" s="44"/>
      <c r="J166" s="44"/>
      <c r="K166" s="45"/>
      <c r="L166" s="543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IFERROR(__xludf.DUMMYFUNCTION("IMPORTRANGE(""https://docs.google.com/spreadsheets/d/1eHaY18a8A9IcSdp1K8H6x8fbOy06t2VsZHhMHf-1x7Y/edit?usp=sharing"",""แผน!Z21"")"),0)</f>
        <v>0</v>
      </c>
      <c r="J167" s="380">
        <v>0</v>
      </c>
      <c r="K167" s="224">
        <f ca="1">IF(I167&gt;0,J167*100/I167,0)</f>
        <v>0</v>
      </c>
      <c r="L167" s="543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hidden="1" x14ac:dyDescent="0.25">
      <c r="A168" s="128"/>
      <c r="B168" s="40"/>
      <c r="C168" s="40"/>
      <c r="D168" s="156" t="s">
        <v>70</v>
      </c>
      <c r="E168" s="40"/>
      <c r="F168" s="40"/>
      <c r="G168" s="42"/>
      <c r="H168" s="483" t="s">
        <v>35</v>
      </c>
      <c r="I168" s="485">
        <f ca="1">IFERROR(__xludf.DUMMYFUNCTION("IMPORTRANGE(""https://docs.google.com/spreadsheets/d/1eHaY18a8A9IcSdp1K8H6x8fbOy06t2VsZHhMHf-1x7Y/edit?usp=sharing"",""แผน!Z21"")"),0)</f>
        <v>0</v>
      </c>
      <c r="J168" s="615">
        <v>0</v>
      </c>
      <c r="K168" s="83">
        <f ca="1">IF(I168&gt;0,J168*100/I168,0)</f>
        <v>0</v>
      </c>
      <c r="L168" s="543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hidden="1" x14ac:dyDescent="0.25">
      <c r="A169" s="185"/>
      <c r="B169" s="1"/>
      <c r="C169" s="1"/>
      <c r="D169" s="486" t="s">
        <v>71</v>
      </c>
      <c r="E169" s="1"/>
      <c r="F169" s="1"/>
      <c r="G169" s="52"/>
      <c r="H169" s="754" t="s">
        <v>35</v>
      </c>
      <c r="I169" s="488">
        <f ca="1">IFERROR(__xludf.DUMMYFUNCTION("IMPORTRANGE(""https://docs.google.com/spreadsheets/d/1eHaY18a8A9IcSdp1K8H6x8fbOy06t2VsZHhMHf-1x7Y/edit?usp=sharing"",""แผน!Z21"")"),0)</f>
        <v>0</v>
      </c>
      <c r="J169" s="612">
        <v>0</v>
      </c>
      <c r="K169" s="611">
        <f ca="1">IF(I169&gt;0,J169*100/I169,0)</f>
        <v>0</v>
      </c>
      <c r="L169" s="541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753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752">
        <f ca="1">I183+I184</f>
        <v>7</v>
      </c>
      <c r="J172" s="752">
        <f>J183+J184</f>
        <v>7</v>
      </c>
      <c r="K172" s="751">
        <f ca="1">IF(I172&gt;0,J172*100/I172,0)</f>
        <v>100</v>
      </c>
      <c r="L172" s="750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374" t="s">
        <v>18</v>
      </c>
      <c r="D173" s="60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548">
        <f ca="1">L174+L175</f>
        <v>19590</v>
      </c>
      <c r="M173" s="547">
        <f ca="1">M174+M175</f>
        <v>139645</v>
      </c>
      <c r="N173" s="547">
        <f ca="1">N174+N175</f>
        <v>128065</v>
      </c>
      <c r="O173" s="547">
        <f ca="1">IF(L173&gt;0,N173*100/L173,0)</f>
        <v>653.72639101582445</v>
      </c>
      <c r="P173" s="547">
        <f ca="1">IF(M173&gt;0,N173*100/M173,0)</f>
        <v>91.707544129757594</v>
      </c>
      <c r="Q173" s="547">
        <f ca="1">Q174+Q175</f>
        <v>0</v>
      </c>
      <c r="R173" s="547">
        <f ca="1">R174+R175</f>
        <v>0</v>
      </c>
      <c r="S173" s="547">
        <f ca="1">S174+S175</f>
        <v>0</v>
      </c>
      <c r="T173" s="547">
        <f ca="1">IF(Q173&gt;0,S173*100/Q173,0)</f>
        <v>0</v>
      </c>
      <c r="U173" s="547">
        <f ca="1">IF(R173&gt;0,S173*100/R173,0)</f>
        <v>0</v>
      </c>
    </row>
    <row r="174" spans="1:21" ht="18.75" hidden="1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546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hidden="1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545">
        <f ca="1">L178+L181</f>
        <v>19590</v>
      </c>
      <c r="M175" s="224">
        <f ca="1">M178+M181</f>
        <v>139645</v>
      </c>
      <c r="N175" s="224">
        <f ca="1">N178+N181</f>
        <v>128065</v>
      </c>
      <c r="O175" s="224">
        <f ca="1">IF(L175&gt;0,N175*100/L175,0)</f>
        <v>653.72639101582445</v>
      </c>
      <c r="P175" s="224">
        <f ca="1">IF(M175&gt;0,N175*100/M175,0)</f>
        <v>91.707544129757594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545">
        <f ca="1">L177+L178</f>
        <v>19590</v>
      </c>
      <c r="M176" s="224">
        <f ca="1">M177+M178</f>
        <v>139645</v>
      </c>
      <c r="N176" s="224">
        <f ca="1">N177+N178</f>
        <v>128065</v>
      </c>
      <c r="O176" s="224">
        <f ca="1">IF(L176&gt;0,N176*100/L176,0)</f>
        <v>653.72639101582445</v>
      </c>
      <c r="P176" s="224">
        <f ca="1">IF(M176&gt;0,N176*100/M176,0)</f>
        <v>91.707544129757594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hidden="1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546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hidden="1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545">
        <f ca="1">IFERROR(__xludf.DUMMYFUNCTION("IMPORTRANGE(""https://docs.google.com/spreadsheets/d/1-uDff_7J0KD5mKrp0Vvzr7lt3OU09vwQwhkpOPPYv2Y/edit?usp=sharing"",""งบพรบ!CK21"")"),19590)</f>
        <v>19590</v>
      </c>
      <c r="M178" s="224">
        <f ca="1">IFERROR(__xludf.DUMMYFUNCTION("IMPORTRANGE(""https://docs.google.com/spreadsheets/d/1-uDff_7J0KD5mKrp0Vvzr7lt3OU09vwQwhkpOPPYv2Y/edit?usp=sharing"",""งบพรบ!CP21"")"),139645)</f>
        <v>139645</v>
      </c>
      <c r="N178" s="224">
        <f ca="1">IFERROR(__xludf.DUMMYFUNCTION("IMPORTRANGE(""https://docs.google.com/spreadsheets/d/1-uDff_7J0KD5mKrp0Vvzr7lt3OU09vwQwhkpOPPYv2Y/edit?usp=sharing"",""งบพรบ!CR21"")"),128065)</f>
        <v>128065</v>
      </c>
      <c r="O178" s="224">
        <f ca="1">IF(L178&gt;0,N178*100/L178,0)</f>
        <v>653.72639101582445</v>
      </c>
      <c r="P178" s="224">
        <f ca="1">IF(M178&gt;0,N178*100/M178,0)</f>
        <v>91.707544129757594</v>
      </c>
      <c r="Q178" s="224">
        <f ca="1">IFERROR(__xludf.DUMMYFUNCTION("IMPORTRANGE(""https://docs.google.com/spreadsheets/d/1ItG2mGa2ceCfYo0BwxsXqNm01IGEUdYcSSLTEv9YCik/edit?usp=sharing"",""เบิกจ่ายกองทุน!DG21"")"),0)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IFERROR(__xludf.DUMMYFUNCTION("IMPORTRANGE(""https://docs.google.com/spreadsheets/d/1ItG2mGa2ceCfYo0BwxsXqNm01IGEUdYcSSLTEv9YCik/edit?usp=sharing"",""เบิกจ่ายกองทุน!DH21"")"),0)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IFERROR(__xludf.DUMMYFUNCTION("IMPORTRANGE(""https://docs.google.com/spreadsheets/d/1ItG2mGa2ceCfYo0BwxsXqNm01IGEUdYcSSLTEv9YCik/edit?usp=sharing"",""เบิกจ่ายกองทุน!DI21"")"),0)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545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hidden="1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546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hidden="1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545">
        <f ca="1">IFERROR(__xludf.DUMMYFUNCTION("IMPORTRANGE(""https://docs.google.com/spreadsheets/d/1-uDff_7J0KD5mKrp0Vvzr7lt3OU09vwQwhkpOPPYv2Y/edit?usp=sharing"",""งบพรบ!CN21"")"),0)</f>
        <v>0</v>
      </c>
      <c r="M181" s="224">
        <f ca="1">IFERROR(__xludf.DUMMYFUNCTION("IMPORTRANGE(""https://docs.google.com/spreadsheets/d/1-uDff_7J0KD5mKrp0Vvzr7lt3OU09vwQwhkpOPPYv2Y/edit?usp=sharing"",""งบพรบ!CQ21"")"),0)</f>
        <v>0</v>
      </c>
      <c r="N181" s="224">
        <f ca="1">IFERROR(__xludf.DUMMYFUNCTION("IMPORTRANGE(""https://docs.google.com/spreadsheets/d/1-uDff_7J0KD5mKrp0Vvzr7lt3OU09vwQwhkpOPPYv2Y/edit?usp=sharing"",""งบพรบ!CS21"")"),0)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374" t="s">
        <v>18</v>
      </c>
      <c r="D182" s="570" t="s">
        <v>38</v>
      </c>
      <c r="E182" s="141"/>
      <c r="F182" s="141"/>
      <c r="G182" s="142"/>
      <c r="H182" s="178"/>
      <c r="I182" s="44"/>
      <c r="J182" s="44"/>
      <c r="K182" s="45"/>
      <c r="L182" s="543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IFERROR(__xludf.DUMMYFUNCTION("IMPORTRANGE(""https://docs.google.com/spreadsheets/d/1eHaY18a8A9IcSdp1K8H6x8fbOy06t2VsZHhMHf-1x7Y/edit?usp=sharing"",""แผน!AA21"")"),7)</f>
        <v>7</v>
      </c>
      <c r="J183" s="380">
        <v>7</v>
      </c>
      <c r="K183" s="224">
        <f ca="1">IF(I183&gt;0,J183*100/I183,0)</f>
        <v>100</v>
      </c>
      <c r="L183" s="543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hidden="1" x14ac:dyDescent="0.25">
      <c r="A184" s="208"/>
      <c r="B184" s="158"/>
      <c r="C184" s="158"/>
      <c r="D184" s="322" t="s">
        <v>76</v>
      </c>
      <c r="E184" s="40"/>
      <c r="F184" s="40"/>
      <c r="G184" s="42"/>
      <c r="H184" s="616" t="s">
        <v>35</v>
      </c>
      <c r="I184" s="485">
        <v>0</v>
      </c>
      <c r="J184" s="485">
        <v>0</v>
      </c>
      <c r="K184" s="83">
        <f>IF(I184&gt;0,J184*100/I184,0)</f>
        <v>0</v>
      </c>
      <c r="L184" s="543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752">
        <f ca="1">I230+I231</f>
        <v>0</v>
      </c>
      <c r="J185" s="752">
        <f>J230+J231</f>
        <v>0</v>
      </c>
      <c r="K185" s="751">
        <f ca="1">IF(I185&gt;0,J185*100/I185,0)</f>
        <v>0</v>
      </c>
      <c r="L185" s="750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374" t="s">
        <v>18</v>
      </c>
      <c r="D186" s="60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548">
        <f ca="1">L187+L188</f>
        <v>207500</v>
      </c>
      <c r="M186" s="547">
        <f ca="1">M187+M188</f>
        <v>209500</v>
      </c>
      <c r="N186" s="547">
        <f ca="1">N187+N188</f>
        <v>221079.67999999999</v>
      </c>
      <c r="O186" s="547">
        <f ca="1">IF(L186&gt;0,N186*100/L186,0)</f>
        <v>106.54442409638554</v>
      </c>
      <c r="P186" s="547">
        <f ca="1">IF(M186&gt;0,N186*100/M186,0)</f>
        <v>105.52729355608592</v>
      </c>
      <c r="Q186" s="547">
        <f ca="1">Q187+Q188</f>
        <v>42000</v>
      </c>
      <c r="R186" s="547">
        <f ca="1">R187+R188</f>
        <v>42000</v>
      </c>
      <c r="S186" s="547">
        <f ca="1">S187+S188</f>
        <v>42000</v>
      </c>
      <c r="T186" s="547">
        <f ca="1">IF(Q186&gt;0,S186*100/Q186,0)</f>
        <v>100</v>
      </c>
      <c r="U186" s="547">
        <f ca="1">IF(R186&gt;0,S186*100/R186,0)</f>
        <v>100</v>
      </c>
    </row>
    <row r="187" spans="1:21" ht="18.75" hidden="1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546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hidden="1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545">
        <f ca="1">L191+L194</f>
        <v>207500</v>
      </c>
      <c r="M188" s="224">
        <f ca="1">M191+M194</f>
        <v>209500</v>
      </c>
      <c r="N188" s="224">
        <f ca="1">N191+N194</f>
        <v>221079.67999999999</v>
      </c>
      <c r="O188" s="224">
        <f ca="1">IF(L188&gt;0,N188*100/L188,0)</f>
        <v>106.54442409638554</v>
      </c>
      <c r="P188" s="224">
        <f ca="1">IF(M188&gt;0,N188*100/M188,0)</f>
        <v>105.52729355608592</v>
      </c>
      <c r="Q188" s="224">
        <f ca="1">Q191+Q194</f>
        <v>42000</v>
      </c>
      <c r="R188" s="224">
        <f ca="1">R191+R194</f>
        <v>42000</v>
      </c>
      <c r="S188" s="224">
        <f ca="1">S191+S194</f>
        <v>42000</v>
      </c>
      <c r="T188" s="224">
        <f ca="1">IF(Q188&gt;0,S188*100/Q188,0)</f>
        <v>100</v>
      </c>
      <c r="U188" s="224">
        <f ca="1">IF(R188&gt;0,S188*100/R188,0)</f>
        <v>100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545">
        <f ca="1">L190+L191</f>
        <v>207500</v>
      </c>
      <c r="M189" s="224">
        <f ca="1">M190+M191</f>
        <v>209500</v>
      </c>
      <c r="N189" s="224">
        <f ca="1">N190+N191</f>
        <v>221079.67999999999</v>
      </c>
      <c r="O189" s="224">
        <f ca="1">IF(L189&gt;0,N189*100/L189,0)</f>
        <v>106.54442409638554</v>
      </c>
      <c r="P189" s="224">
        <f ca="1">IF(M189&gt;0,N189*100/M189,0)</f>
        <v>105.52729355608592</v>
      </c>
      <c r="Q189" s="224">
        <f ca="1">Q190+Q191</f>
        <v>42000</v>
      </c>
      <c r="R189" s="224">
        <f ca="1">R190+R191</f>
        <v>42000</v>
      </c>
      <c r="S189" s="224">
        <f ca="1">S190+S191</f>
        <v>42000</v>
      </c>
      <c r="T189" s="224">
        <f ca="1">IF(Q189&gt;0,S189*100/Q189,0)</f>
        <v>100</v>
      </c>
      <c r="U189" s="224">
        <f ca="1">IF(R189&gt;0,S189*100/R189,0)</f>
        <v>100</v>
      </c>
    </row>
    <row r="190" spans="1:21" ht="18.75" hidden="1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546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hidden="1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545">
        <f ca="1">IFERROR(__xludf.DUMMYFUNCTION("IMPORTRANGE(""https://docs.google.com/spreadsheets/d/1-uDff_7J0KD5mKrp0Vvzr7lt3OU09vwQwhkpOPPYv2Y/edit?usp=sharing"",""งบพรบ!CU21"")"),207500)</f>
        <v>207500</v>
      </c>
      <c r="M191" s="224">
        <f ca="1">IFERROR(__xludf.DUMMYFUNCTION("IMPORTRANGE(""https://docs.google.com/spreadsheets/d/1-uDff_7J0KD5mKrp0Vvzr7lt3OU09vwQwhkpOPPYv2Y/edit?usp=sharing"",""งบพรบ!CZ21"")"),209500)</f>
        <v>209500</v>
      </c>
      <c r="N191" s="224">
        <f ca="1">IFERROR(__xludf.DUMMYFUNCTION("IMPORTRANGE(""https://docs.google.com/spreadsheets/d/1-uDff_7J0KD5mKrp0Vvzr7lt3OU09vwQwhkpOPPYv2Y/edit?usp=sharing"",""งบพรบ!DB21"")"),221079.68)</f>
        <v>221079.67999999999</v>
      </c>
      <c r="O191" s="224">
        <f ca="1">IF(L191&gt;0,N191*100/L191,0)</f>
        <v>106.54442409638554</v>
      </c>
      <c r="P191" s="224">
        <f ca="1">IF(M191&gt;0,N191*100/M191,0)</f>
        <v>105.52729355608592</v>
      </c>
      <c r="Q191" s="224">
        <f ca="1">IFERROR(__xludf.DUMMYFUNCTION("IMPORTRANGE(""https://docs.google.com/spreadsheets/d/1ItG2mGa2ceCfYo0BwxsXqNm01IGEUdYcSSLTEv9YCik/edit?usp=sharing"",""เบิกจ่ายกองทุน!BQ21"")"),42000)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IFERROR(__xludf.DUMMYFUNCTION("IMPORTRANGE(""https://docs.google.com/spreadsheets/d/1ItG2mGa2ceCfYo0BwxsXqNm01IGEUdYcSSLTEv9YCik/edit?usp=sharing"",""เบิกจ่ายกองทุน!BR21"")"),42000)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IFERROR(__xludf.DUMMYFUNCTION("IMPORTRANGE(""https://docs.google.com/spreadsheets/d/1ItG2mGa2ceCfYo0BwxsXqNm01IGEUdYcSSLTEv9YCik/edit?usp=sharing"",""เบิกจ่ายกองทุน!BS21"")"),42000)</f>
        <v>42000</v>
      </c>
      <c r="T191" s="224">
        <f ca="1">IF(Q191&gt;0,S191*100/Q191,0)</f>
        <v>100</v>
      </c>
      <c r="U191" s="224">
        <f ca="1">IF(R191&gt;0,S191*100/R191,0)</f>
        <v>100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545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hidden="1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546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hidden="1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545">
        <f ca="1">IFERROR(__xludf.DUMMYFUNCTION("IMPORTRANGE(""https://docs.google.com/spreadsheets/d/1-uDff_7J0KD5mKrp0Vvzr7lt3OU09vwQwhkpOPPYv2Y/edit?usp=sharing"",""งบพรบ!CX21"")"),0)</f>
        <v>0</v>
      </c>
      <c r="M194" s="224">
        <f ca="1">IFERROR(__xludf.DUMMYFUNCTION("IMPORTRANGE(""https://docs.google.com/spreadsheets/d/1-uDff_7J0KD5mKrp0Vvzr7lt3OU09vwQwhkpOPPYv2Y/edit?usp=sharing"",""งบพรบ!DA21"")"),0)</f>
        <v>0</v>
      </c>
      <c r="N194" s="224">
        <f ca="1">IFERROR(__xludf.DUMMYFUNCTION("IMPORTRANGE(""https://docs.google.com/spreadsheets/d/1-uDff_7J0KD5mKrp0Vvzr7lt3OU09vwQwhkpOPPYv2Y/edit?usp=sharing"",""งบพรบ!DC21"")"),0)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IFERROR(__xludf.DUMMYFUNCTION("IMPORTRANGE(""https://docs.google.com/spreadsheets/d/1ItG2mGa2ceCfYo0BwxsXqNm01IGEUdYcSSLTEv9YCik/edit?usp=sharing"",""เบิกจ่ายกองทุน!BT21"")"),0)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IFERROR(__xludf.DUMMYFUNCTION("IMPORTRANGE(""https://docs.google.com/spreadsheets/d/1ItG2mGa2ceCfYo0BwxsXqNm01IGEUdYcSSLTEv9YCik/edit?usp=sharing"",""เบิกจ่ายกองทุน!BU21"")"),0)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IFERROR(__xludf.DUMMYFUNCTION("IMPORTRANGE(""https://docs.google.com/spreadsheets/d/1ItG2mGa2ceCfYo0BwxsXqNm01IGEUdYcSSLTEv9YCik/edit?usp=sharing"",""เบิกจ่ายกองทุน!BV21"")"),0)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2">
        <f ca="1">I198</f>
        <v>4</v>
      </c>
      <c r="J195" s="302">
        <f>J198</f>
        <v>4</v>
      </c>
      <c r="K195" s="303">
        <f ca="1">IF(I195&gt;0,J195*100/I195,0)</f>
        <v>100</v>
      </c>
      <c r="L195" s="66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374" t="s">
        <v>18</v>
      </c>
      <c r="D196" s="746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548">
        <f ca="1">IFERROR(__xludf.DUMMYFUNCTION("IMPORTRANGE(""https://docs.google.com/spreadsheets/d/1eHaY18a8A9IcSdp1K8H6x8fbOy06t2VsZHhMHf-1x7Y/edit?usp=sharing"",""แผน!AB21"")"),6000)</f>
        <v>6000</v>
      </c>
      <c r="M196" s="45"/>
      <c r="N196" s="749">
        <v>6000</v>
      </c>
      <c r="O196" s="547">
        <f ca="1">IF(L196&gt;0,N196*100/L196,0)</f>
        <v>100</v>
      </c>
      <c r="P196" s="547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374" t="s">
        <v>18</v>
      </c>
      <c r="D197" s="570" t="s">
        <v>38</v>
      </c>
      <c r="E197" s="141"/>
      <c r="F197" s="141"/>
      <c r="G197" s="142"/>
      <c r="H197" s="143"/>
      <c r="I197" s="44"/>
      <c r="J197" s="44"/>
      <c r="K197" s="45"/>
      <c r="L197" s="543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IFERROR(__xludf.DUMMYFUNCTION("IMPORTRANGE(""https://docs.google.com/spreadsheets/d/1eHaY18a8A9IcSdp1K8H6x8fbOy06t2VsZHhMHf-1x7Y/edit?usp=sharing"",""แผน!AE21"")"),4)</f>
        <v>4</v>
      </c>
      <c r="J198" s="380">
        <v>4</v>
      </c>
      <c r="K198" s="224">
        <f ca="1">IF(I198&gt;0,J198*100/I198,0)</f>
        <v>100</v>
      </c>
      <c r="L198" s="543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207</v>
      </c>
      <c r="K199" s="45"/>
      <c r="L199" s="543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380">
        <v>207</v>
      </c>
      <c r="K200" s="45"/>
      <c r="L200" s="543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380">
        <v>0</v>
      </c>
      <c r="K201" s="45"/>
      <c r="L201" s="543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2">
        <f ca="1">I209</f>
        <v>3</v>
      </c>
      <c r="J202" s="302">
        <f>J209</f>
        <v>3</v>
      </c>
      <c r="K202" s="303">
        <f ca="1">IF(I202&gt;0,J202*100/I202,0)</f>
        <v>100</v>
      </c>
      <c r="L202" s="66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374" t="s">
        <v>18</v>
      </c>
      <c r="D203" s="746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548">
        <f ca="1">L204+L205+L206+L207</f>
        <v>15000</v>
      </c>
      <c r="M203" s="45"/>
      <c r="N203" s="547">
        <f>N204+N205+N206+N207</f>
        <v>15000</v>
      </c>
      <c r="O203" s="547">
        <f ca="1">IF(L203&gt;0,N203*100/L203,0)</f>
        <v>100</v>
      </c>
      <c r="P203" s="547">
        <f>IF(M203&gt;0,N203*100/M203,0)</f>
        <v>0</v>
      </c>
      <c r="Q203" s="748">
        <f ca="1">Q204+Q205+Q206+Q207</f>
        <v>42000</v>
      </c>
      <c r="R203" s="314"/>
      <c r="S203" s="747">
        <f>S204+S205+S206+S207</f>
        <v>42000</v>
      </c>
      <c r="T203" s="747">
        <f ca="1">IF(Q203&gt;0,S203*100/Q203,0)</f>
        <v>100</v>
      </c>
      <c r="U203" s="747">
        <f>IF(R203&gt;0,S203*100/R203,0)</f>
        <v>0</v>
      </c>
    </row>
    <row r="204" spans="1:21" ht="18.75" x14ac:dyDescent="0.25">
      <c r="A204" s="128"/>
      <c r="B204" s="158"/>
      <c r="C204" s="40"/>
      <c r="D204" s="378" t="s">
        <v>320</v>
      </c>
      <c r="E204" s="40"/>
      <c r="F204" s="40"/>
      <c r="G204" s="42"/>
      <c r="H204" s="134" t="s">
        <v>14</v>
      </c>
      <c r="I204" s="135"/>
      <c r="J204" s="135"/>
      <c r="K204" s="136"/>
      <c r="L204" s="545">
        <f ca="1">IFERROR(__xludf.DUMMYFUNCTION("IMPORTRANGE(""https://docs.google.com/spreadsheets/d/1eHaY18a8A9IcSdp1K8H6x8fbOy06t2VsZHhMHf-1x7Y/edit?usp=sharing"",""แผน!AG21"")"),3000)</f>
        <v>3000</v>
      </c>
      <c r="M204" s="45"/>
      <c r="N204" s="737">
        <v>3000</v>
      </c>
      <c r="O204" s="136"/>
      <c r="P204" s="45"/>
      <c r="Q204" s="545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318</v>
      </c>
      <c r="E205" s="40"/>
      <c r="F205" s="40"/>
      <c r="G205" s="42"/>
      <c r="H205" s="43" t="s">
        <v>14</v>
      </c>
      <c r="I205" s="44"/>
      <c r="J205" s="44"/>
      <c r="K205" s="45"/>
      <c r="L205" s="545">
        <f ca="1">IFERROR(__xludf.DUMMYFUNCTION("IMPORTRANGE(""https://docs.google.com/spreadsheets/d/1eHaY18a8A9IcSdp1K8H6x8fbOy06t2VsZHhMHf-1x7Y/edit?usp=sharing"",""แผน!AH21"")"),0)</f>
        <v>0</v>
      </c>
      <c r="M205" s="45"/>
      <c r="N205" s="737">
        <v>0</v>
      </c>
      <c r="O205" s="136"/>
      <c r="P205" s="45"/>
      <c r="Q205" s="545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545">
        <f ca="1">IFERROR(__xludf.DUMMYFUNCTION("IMPORTRANGE(""https://docs.google.com/spreadsheets/d/1eHaY18a8A9IcSdp1K8H6x8fbOy06t2VsZHhMHf-1x7Y/edit?usp=sharing"",""แผน!AI21"")"),0)</f>
        <v>0</v>
      </c>
      <c r="M206" s="45"/>
      <c r="N206" s="737">
        <v>0</v>
      </c>
      <c r="O206" s="136"/>
      <c r="P206" s="45"/>
      <c r="Q206" s="545">
        <f ca="1">IFERROR(__xludf.DUMMYFUNCTION("IMPORTRANGE(""https://docs.google.com/spreadsheets/d/1eHaY18a8A9IcSdp1K8H6x8fbOy06t2VsZHhMHf-1x7Y/edit?usp=sharing"",""แผน!LV21"")"),42000)</f>
        <v>42000</v>
      </c>
      <c r="R206" s="45"/>
      <c r="S206" s="737">
        <v>42000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545">
        <f ca="1">IFERROR(__xludf.DUMMYFUNCTION("IMPORTRANGE(""https://docs.google.com/spreadsheets/d/1eHaY18a8A9IcSdp1K8H6x8fbOy06t2VsZHhMHf-1x7Y/edit?usp=sharing"",""แผน!AJ21"")"),12000)</f>
        <v>12000</v>
      </c>
      <c r="M207" s="45"/>
      <c r="N207" s="737">
        <v>12000</v>
      </c>
      <c r="O207" s="136"/>
      <c r="P207" s="45"/>
      <c r="Q207" s="545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374" t="s">
        <v>18</v>
      </c>
      <c r="D208" s="570" t="s">
        <v>38</v>
      </c>
      <c r="E208" s="141"/>
      <c r="F208" s="141"/>
      <c r="G208" s="142"/>
      <c r="H208" s="143"/>
      <c r="I208" s="135"/>
      <c r="J208" s="135"/>
      <c r="K208" s="136"/>
      <c r="L208" s="563"/>
      <c r="M208" s="136"/>
      <c r="N208" s="136"/>
      <c r="O208" s="136"/>
      <c r="P208" s="136"/>
      <c r="Q208" s="563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IFERROR(__xludf.DUMMYFUNCTION("IMPORTRANGE(""https://docs.google.com/spreadsheets/d/1eHaY18a8A9IcSdp1K8H6x8fbOy06t2VsZHhMHf-1x7Y/edit?usp=sharing"",""แผน!AK21"")"),3)</f>
        <v>3</v>
      </c>
      <c r="J209" s="380">
        <v>3</v>
      </c>
      <c r="K209" s="569">
        <f ca="1">IF(I209&gt;0,J209*100/I209,0)</f>
        <v>100</v>
      </c>
      <c r="L209" s="543"/>
      <c r="M209" s="45"/>
      <c r="N209" s="45"/>
      <c r="O209" s="45"/>
      <c r="P209" s="45"/>
      <c r="Q209" s="543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543"/>
      <c r="M210" s="45"/>
      <c r="N210" s="45"/>
      <c r="O210" s="45"/>
      <c r="P210" s="45"/>
      <c r="Q210" s="543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IFERROR(__xludf.DUMMYFUNCTION("IMPORTRANGE(""https://docs.google.com/spreadsheets/d/1eHaY18a8A9IcSdp1K8H6x8fbOy06t2VsZHhMHf-1x7Y/edit?usp=sharing"",""แผน!JX21"")"),3)</f>
        <v>3</v>
      </c>
      <c r="J211" s="380">
        <v>3</v>
      </c>
      <c r="K211" s="569">
        <f ca="1">IF(I211&gt;0,J211*100/I211,0)</f>
        <v>100</v>
      </c>
      <c r="L211" s="543"/>
      <c r="M211" s="45"/>
      <c r="N211" s="45"/>
      <c r="O211" s="45"/>
      <c r="P211" s="45"/>
      <c r="Q211" s="543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IFERROR(__xludf.DUMMYFUNCTION("IMPORTRANGE(""https://docs.google.com/spreadsheets/d/1eHaY18a8A9IcSdp1K8H6x8fbOy06t2VsZHhMHf-1x7Y/edit?usp=sharing"",""แผน!JY21"")"),0)</f>
        <v>0</v>
      </c>
      <c r="J212" s="380">
        <v>0</v>
      </c>
      <c r="K212" s="569">
        <f ca="1">IF(I212&gt;0,J212*100/I212,0)</f>
        <v>0</v>
      </c>
      <c r="L212" s="543"/>
      <c r="M212" s="45"/>
      <c r="N212" s="45"/>
      <c r="O212" s="45"/>
      <c r="P212" s="45"/>
      <c r="Q212" s="543"/>
      <c r="R212" s="45"/>
      <c r="S212" s="45"/>
      <c r="T212" s="45"/>
      <c r="U212" s="45"/>
    </row>
    <row r="213" spans="1:21" ht="19.5" hidden="1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2">
        <f ca="1">I220</f>
        <v>0</v>
      </c>
      <c r="J213" s="302">
        <f>J220</f>
        <v>0</v>
      </c>
      <c r="K213" s="303">
        <f ca="1">IF(I213&gt;0,J213*100/I213,0)</f>
        <v>0</v>
      </c>
      <c r="L213" s="669"/>
      <c r="M213" s="219"/>
      <c r="N213" s="219"/>
      <c r="O213" s="219"/>
      <c r="P213" s="219"/>
      <c r="Q213" s="669"/>
      <c r="R213" s="219"/>
      <c r="S213" s="219"/>
      <c r="T213" s="219"/>
      <c r="U213" s="219"/>
    </row>
    <row r="214" spans="1:21" ht="19.5" hidden="1" x14ac:dyDescent="0.3">
      <c r="A214" s="128"/>
      <c r="B214" s="40"/>
      <c r="C214" s="129" t="s">
        <v>18</v>
      </c>
      <c r="D214" s="746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548">
        <f ca="1">L215+L216+L217</f>
        <v>0</v>
      </c>
      <c r="M214" s="45"/>
      <c r="N214" s="547">
        <f>N215+N216+N217</f>
        <v>0</v>
      </c>
      <c r="O214" s="547">
        <f ca="1">IF(L214&gt;0,N214*100/L214,0)</f>
        <v>0</v>
      </c>
      <c r="P214" s="547">
        <f>IF(M214&gt;0,N214*100/M214,0)</f>
        <v>0</v>
      </c>
      <c r="Q214" s="548">
        <f ca="1">Q215+Q216+Q217</f>
        <v>0</v>
      </c>
      <c r="R214" s="45"/>
      <c r="S214" s="547">
        <f>S215+S216+S217</f>
        <v>0</v>
      </c>
      <c r="T214" s="547">
        <f ca="1">IF(Q214&gt;0,S214*100/Q214,0)</f>
        <v>0</v>
      </c>
      <c r="U214" s="547">
        <f>IF(R214&gt;0,S214*100/R214,0)</f>
        <v>0</v>
      </c>
    </row>
    <row r="215" spans="1:21" ht="18.75" hidden="1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545">
        <f ca="1">IFERROR(__xludf.DUMMYFUNCTION("IMPORTRANGE(""https://docs.google.com/spreadsheets/d/1eHaY18a8A9IcSdp1K8H6x8fbOy06t2VsZHhMHf-1x7Y/edit?usp=sharing"",""แผน!AM21"")"),0)</f>
        <v>0</v>
      </c>
      <c r="M215" s="45"/>
      <c r="N215" s="737">
        <v>0</v>
      </c>
      <c r="O215" s="136"/>
      <c r="P215" s="45"/>
      <c r="Q215" s="545">
        <v>0</v>
      </c>
      <c r="R215" s="45"/>
      <c r="S215" s="224">
        <v>0</v>
      </c>
      <c r="T215" s="136"/>
      <c r="U215" s="45"/>
    </row>
    <row r="216" spans="1:21" ht="18.75" hidden="1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545">
        <f ca="1">IFERROR(__xludf.DUMMYFUNCTION("IMPORTRANGE(""https://docs.google.com/spreadsheets/d/1eHaY18a8A9IcSdp1K8H6x8fbOy06t2VsZHhMHf-1x7Y/edit?usp=sharing"",""แผน!AN21"")"),0)</f>
        <v>0</v>
      </c>
      <c r="M216" s="45"/>
      <c r="N216" s="737">
        <v>0</v>
      </c>
      <c r="O216" s="136"/>
      <c r="P216" s="45"/>
      <c r="Q216" s="545">
        <v>0</v>
      </c>
      <c r="R216" s="45"/>
      <c r="S216" s="224">
        <v>0</v>
      </c>
      <c r="T216" s="136"/>
      <c r="U216" s="45"/>
    </row>
    <row r="217" spans="1:21" ht="18.75" hidden="1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545">
        <f ca="1">IFERROR(__xludf.DUMMYFUNCTION("IMPORTRANGE(""https://docs.google.com/spreadsheets/d/1eHaY18a8A9IcSdp1K8H6x8fbOy06t2VsZHhMHf-1x7Y/edit?usp=sharing"",""แผน!AO21"")"),0)</f>
        <v>0</v>
      </c>
      <c r="M217" s="45"/>
      <c r="N217" s="737">
        <v>0</v>
      </c>
      <c r="O217" s="136"/>
      <c r="P217" s="45"/>
      <c r="Q217" s="545">
        <f ca="1">IFERROR(__xludf.DUMMYFUNCTION("IMPORTRANGE(""https://docs.google.com/spreadsheets/d/1eHaY18a8A9IcSdp1K8H6x8fbOy06t2VsZHhMHf-1x7Y/edit?usp=sharing"",""แผน!LY21"")"),0)</f>
        <v>0</v>
      </c>
      <c r="R217" s="45"/>
      <c r="S217" s="737">
        <v>0</v>
      </c>
      <c r="T217" s="136"/>
      <c r="U217" s="45"/>
    </row>
    <row r="218" spans="1:21" ht="19.5" hidden="1" x14ac:dyDescent="0.3">
      <c r="A218" s="138"/>
      <c r="B218" s="139"/>
      <c r="C218" s="161" t="s">
        <v>18</v>
      </c>
      <c r="D218" s="570" t="s">
        <v>38</v>
      </c>
      <c r="E218" s="141"/>
      <c r="F218" s="141"/>
      <c r="G218" s="142"/>
      <c r="H218" s="143"/>
      <c r="I218" s="135"/>
      <c r="J218" s="44"/>
      <c r="K218" s="45"/>
      <c r="L218" s="543"/>
      <c r="M218" s="45"/>
      <c r="N218" s="45"/>
      <c r="O218" s="136"/>
      <c r="P218" s="136"/>
      <c r="Q218" s="543"/>
      <c r="R218" s="45"/>
      <c r="S218" s="45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IFERROR(__xludf.DUMMYFUNCTION("IMPORTRANGE(""https://docs.google.com/spreadsheets/d/1eHaY18a8A9IcSdp1K8H6x8fbOy06t2VsZHhMHf-1x7Y/edit?usp=sharing"",""แผน!AP21"")"),0)</f>
        <v>0</v>
      </c>
      <c r="J219" s="380">
        <v>0</v>
      </c>
      <c r="K219" s="224">
        <f ca="1">IF(I219&gt;0,J219*100/I219,0)</f>
        <v>0</v>
      </c>
      <c r="L219" s="543"/>
      <c r="M219" s="45"/>
      <c r="N219" s="45"/>
      <c r="O219" s="45"/>
      <c r="P219" s="45"/>
      <c r="Q219" s="543"/>
      <c r="R219" s="45"/>
      <c r="S219" s="45"/>
      <c r="T219" s="45"/>
      <c r="U219" s="45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IFERROR(__xludf.DUMMYFUNCTION("IMPORTRANGE(""https://docs.google.com/spreadsheets/d/1eHaY18a8A9IcSdp1K8H6x8fbOy06t2VsZHhMHf-1x7Y/edit?usp=sharing"",""แผน!AP21"")"),0)</f>
        <v>0</v>
      </c>
      <c r="J220" s="380">
        <v>0</v>
      </c>
      <c r="K220" s="224">
        <f ca="1">IF(I220&gt;0,J220*100/I220,0)</f>
        <v>0</v>
      </c>
      <c r="L220" s="543"/>
      <c r="M220" s="45"/>
      <c r="N220" s="45"/>
      <c r="O220" s="45"/>
      <c r="P220" s="45"/>
      <c r="Q220" s="543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2">
        <f ca="1">I229</f>
        <v>20000</v>
      </c>
      <c r="J221" s="302">
        <f>J229</f>
        <v>20000</v>
      </c>
      <c r="K221" s="303">
        <f ca="1">IF(I221&gt;0,J221*100/I221,0)</f>
        <v>100</v>
      </c>
      <c r="L221" s="66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374" t="s">
        <v>18</v>
      </c>
      <c r="D222" s="746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548">
        <f ca="1">L223+L224+L225</f>
        <v>4500</v>
      </c>
      <c r="M222" s="45"/>
      <c r="N222" s="547">
        <f>N223+N224+N225</f>
        <v>4500</v>
      </c>
      <c r="O222" s="547">
        <f ca="1">IF(L222&gt;0,N222*100/L222,0)</f>
        <v>100</v>
      </c>
      <c r="P222" s="547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378" t="s">
        <v>317</v>
      </c>
      <c r="E223" s="40"/>
      <c r="F223" s="40"/>
      <c r="G223" s="42"/>
      <c r="H223" s="134" t="s">
        <v>14</v>
      </c>
      <c r="I223" s="135"/>
      <c r="J223" s="135"/>
      <c r="K223" s="136"/>
      <c r="L223" s="545">
        <f ca="1">IFERROR(__xludf.DUMMYFUNCTION("IMPORTRANGE(""https://docs.google.com/spreadsheets/d/1eHaY18a8A9IcSdp1K8H6x8fbOy06t2VsZHhMHf-1x7Y/edit?usp=sharing"",""แผน!AR21"")"),2500)</f>
        <v>2500</v>
      </c>
      <c r="M223" s="45"/>
      <c r="N223" s="737">
        <v>2500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316</v>
      </c>
      <c r="E224" s="40"/>
      <c r="F224" s="40"/>
      <c r="G224" s="42"/>
      <c r="H224" s="134" t="s">
        <v>14</v>
      </c>
      <c r="I224" s="44"/>
      <c r="J224" s="44"/>
      <c r="K224" s="45"/>
      <c r="L224" s="545">
        <f ca="1">IFERROR(__xludf.DUMMYFUNCTION("IMPORTRANGE(""https://docs.google.com/spreadsheets/d/1eHaY18a8A9IcSdp1K8H6x8fbOy06t2VsZHhMHf-1x7Y/edit?usp=sharing"",""แผน!AS21"")"),2000)</f>
        <v>2000</v>
      </c>
      <c r="M224" s="45"/>
      <c r="N224" s="737">
        <v>2000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545">
        <f ca="1">IFERROR(__xludf.DUMMYFUNCTION("IMPORTRANGE(""https://docs.google.com/spreadsheets/d/1eHaY18a8A9IcSdp1K8H6x8fbOy06t2VsZHhMHf-1x7Y/edit?usp=sharing"",""แผน!AT21"")"),0)</f>
        <v>0</v>
      </c>
      <c r="M225" s="45"/>
      <c r="N225" s="737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374" t="s">
        <v>18</v>
      </c>
      <c r="D226" s="570" t="s">
        <v>38</v>
      </c>
      <c r="E226" s="141"/>
      <c r="F226" s="141"/>
      <c r="G226" s="142"/>
      <c r="H226" s="143"/>
      <c r="I226" s="135"/>
      <c r="J226" s="135"/>
      <c r="K226" s="136"/>
      <c r="L226" s="563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563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IFERROR(__xludf.DUMMYFUNCTION("IMPORTRANGE(""https://docs.google.com/spreadsheets/d/1eHaY18a8A9IcSdp1K8H6x8fbOy06t2VsZHhMHf-1x7Y/edit?usp=sharing"",""แผน!AV21"")"),20000)</f>
        <v>20000</v>
      </c>
      <c r="J228" s="380">
        <v>20000</v>
      </c>
      <c r="K228" s="569">
        <f ca="1">IF(I228&gt;0,J228*100/I228,0)</f>
        <v>100</v>
      </c>
      <c r="L228" s="563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IFERROR(__xludf.DUMMYFUNCTION("IMPORTRANGE(""https://docs.google.com/spreadsheets/d/1eHaY18a8A9IcSdp1K8H6x8fbOy06t2VsZHhMHf-1x7Y/edit?usp=sharing"",""แผน!AV21"")"),20000)</f>
        <v>20000</v>
      </c>
      <c r="J229" s="380">
        <v>20000</v>
      </c>
      <c r="K229" s="569">
        <f ca="1">IF(I229&gt;0,J229*100/I229,0)</f>
        <v>100</v>
      </c>
      <c r="L229" s="543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IFERROR(__xludf.DUMMYFUNCTION("IMPORTRANGE(""https://docs.google.com/spreadsheets/d/1eHaY18a8A9IcSdp1K8H6x8fbOy06t2VsZHhMHf-1x7Y/edit?usp=sharing"",""แผน!AU21"")"),0)</f>
        <v>0</v>
      </c>
      <c r="J230" s="380">
        <v>0</v>
      </c>
      <c r="K230" s="569">
        <f ca="1">IF(I230&gt;0,J230*100/I230,0)</f>
        <v>0</v>
      </c>
      <c r="L230" s="543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hidden="1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2">
        <f ca="1">I242+I253</f>
        <v>0</v>
      </c>
      <c r="J231" s="302">
        <f>J242+J253</f>
        <v>0</v>
      </c>
      <c r="K231" s="303">
        <f ca="1">IF(I231&gt;0,J231*100/I231,0)</f>
        <v>0</v>
      </c>
      <c r="L231" s="669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hidden="1" x14ac:dyDescent="0.3">
      <c r="A232" s="128"/>
      <c r="B232" s="40"/>
      <c r="C232" s="129" t="s">
        <v>18</v>
      </c>
      <c r="D232" s="60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745">
        <f ca="1">L243+L254</f>
        <v>0</v>
      </c>
      <c r="M232" s="45"/>
      <c r="N232" s="744">
        <f>N243+N254</f>
        <v>0</v>
      </c>
      <c r="O232" s="45"/>
      <c r="P232" s="45"/>
      <c r="Q232" s="743">
        <v>0</v>
      </c>
      <c r="R232" s="743">
        <v>0</v>
      </c>
      <c r="S232" s="743">
        <v>0</v>
      </c>
      <c r="T232" s="45"/>
      <c r="U232" s="45"/>
    </row>
    <row r="233" spans="1:21" ht="18.75" hidden="1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546">
        <f ca="1">L244+L255</f>
        <v>0</v>
      </c>
      <c r="M233" s="45"/>
      <c r="N233" s="83">
        <f>N244+N255</f>
        <v>0</v>
      </c>
      <c r="O233" s="45"/>
      <c r="P233" s="45"/>
      <c r="Q233" s="822">
        <v>0</v>
      </c>
      <c r="R233" s="821">
        <v>0</v>
      </c>
      <c r="S233" s="821">
        <v>0</v>
      </c>
      <c r="T233" s="45"/>
      <c r="U233" s="45"/>
    </row>
    <row r="234" spans="1:21" ht="18.75" hidden="1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546">
        <f ca="1">L245+L256</f>
        <v>0</v>
      </c>
      <c r="M234" s="45"/>
      <c r="N234" s="83">
        <f>N245+N256</f>
        <v>0</v>
      </c>
      <c r="O234" s="45"/>
      <c r="P234" s="45"/>
      <c r="Q234" s="820">
        <v>0</v>
      </c>
      <c r="R234" s="819">
        <v>0</v>
      </c>
      <c r="S234" s="819">
        <v>0</v>
      </c>
      <c r="T234" s="45"/>
      <c r="U234" s="45"/>
    </row>
    <row r="235" spans="1:21" ht="18.75" hidden="1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546">
        <f ca="1">L246+L257</f>
        <v>0</v>
      </c>
      <c r="M235" s="45"/>
      <c r="N235" s="83">
        <f>N246+N257</f>
        <v>0</v>
      </c>
      <c r="O235" s="45"/>
      <c r="P235" s="45"/>
      <c r="Q235" s="820">
        <v>0</v>
      </c>
      <c r="R235" s="819">
        <v>0</v>
      </c>
      <c r="S235" s="819">
        <v>0</v>
      </c>
      <c r="T235" s="45"/>
      <c r="U235" s="45"/>
    </row>
    <row r="236" spans="1:21" ht="18.75" hidden="1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546">
        <f ca="1">L247+L258</f>
        <v>0</v>
      </c>
      <c r="M236" s="45"/>
      <c r="N236" s="83">
        <f>N247+N258</f>
        <v>0</v>
      </c>
      <c r="O236" s="45"/>
      <c r="P236" s="45"/>
      <c r="Q236" s="820">
        <v>0</v>
      </c>
      <c r="R236" s="819">
        <v>0</v>
      </c>
      <c r="S236" s="819">
        <v>0</v>
      </c>
      <c r="T236" s="45"/>
      <c r="U236" s="45"/>
    </row>
    <row r="237" spans="1:21" ht="19.5" hidden="1" x14ac:dyDescent="0.3">
      <c r="A237" s="138"/>
      <c r="B237" s="139"/>
      <c r="C237" s="161" t="s">
        <v>18</v>
      </c>
      <c r="D237" s="570" t="s">
        <v>38</v>
      </c>
      <c r="E237" s="141"/>
      <c r="F237" s="141"/>
      <c r="G237" s="142"/>
      <c r="H237" s="143"/>
      <c r="I237" s="135"/>
      <c r="J237" s="44"/>
      <c r="K237" s="45"/>
      <c r="L237" s="543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543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hidden="1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543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543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543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hidden="1" x14ac:dyDescent="0.3">
      <c r="A242" s="211"/>
      <c r="B242" s="212"/>
      <c r="C242" s="742" t="s">
        <v>111</v>
      </c>
      <c r="D242" s="214"/>
      <c r="E242" s="214"/>
      <c r="F242" s="214"/>
      <c r="G242" s="215"/>
      <c r="H242" s="741" t="s">
        <v>35</v>
      </c>
      <c r="I242" s="740">
        <f ca="1">I249</f>
        <v>0</v>
      </c>
      <c r="J242" s="740">
        <f>J249</f>
        <v>0</v>
      </c>
      <c r="K242" s="739">
        <f ca="1">IF(I242&gt;0,J242*100/I242,0)</f>
        <v>0</v>
      </c>
      <c r="L242" s="669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hidden="1" x14ac:dyDescent="0.3">
      <c r="A243" s="128"/>
      <c r="B243" s="40"/>
      <c r="C243" s="617" t="s">
        <v>18</v>
      </c>
      <c r="D243" s="565" t="s">
        <v>19</v>
      </c>
      <c r="E243" s="40"/>
      <c r="F243" s="40"/>
      <c r="G243" s="42"/>
      <c r="H243" s="480" t="s">
        <v>14</v>
      </c>
      <c r="I243" s="135"/>
      <c r="J243" s="135"/>
      <c r="K243" s="136"/>
      <c r="L243" s="548">
        <f ca="1">L244+L245+L246+L247</f>
        <v>0</v>
      </c>
      <c r="M243" s="45"/>
      <c r="N243" s="547">
        <f>N244+N245+N246+N247</f>
        <v>0</v>
      </c>
      <c r="O243" s="547">
        <f ca="1">IF(L243&gt;0,N243*100/L243,0)</f>
        <v>0</v>
      </c>
      <c r="P243" s="547">
        <f>IF(M243&gt;0,N243*100/M243,0)</f>
        <v>0</v>
      </c>
      <c r="Q243" s="45"/>
      <c r="R243" s="45"/>
      <c r="S243" s="45"/>
      <c r="T243" s="45"/>
      <c r="U243" s="45"/>
    </row>
    <row r="244" spans="1:21" ht="18.75" hidden="1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545">
        <f ca="1">IFERROR(__xludf.DUMMYFUNCTION("IMPORTRANGE(""https://docs.google.com/spreadsheets/d/1eHaY18a8A9IcSdp1K8H6x8fbOy06t2VsZHhMHf-1x7Y/edit?usp=sharing"",""แผน!AX21"")"),0)</f>
        <v>0</v>
      </c>
      <c r="M244" s="45"/>
      <c r="N244" s="737">
        <v>0</v>
      </c>
      <c r="O244" s="45"/>
      <c r="P244" s="45"/>
      <c r="Q244" s="45"/>
      <c r="R244" s="45"/>
      <c r="S244" s="45"/>
      <c r="T244" s="45"/>
      <c r="U244" s="45"/>
    </row>
    <row r="245" spans="1:21" ht="18.75" hidden="1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545">
        <f ca="1">IFERROR(__xludf.DUMMYFUNCTION("IMPORTRANGE(""https://docs.google.com/spreadsheets/d/1eHaY18a8A9IcSdp1K8H6x8fbOy06t2VsZHhMHf-1x7Y/edit?usp=sharing"",""แผน!AY21"")"),0)</f>
        <v>0</v>
      </c>
      <c r="M245" s="45"/>
      <c r="N245" s="737">
        <v>0</v>
      </c>
      <c r="O245" s="45"/>
      <c r="P245" s="45"/>
      <c r="Q245" s="45"/>
      <c r="R245" s="45"/>
      <c r="S245" s="45"/>
      <c r="T245" s="45"/>
      <c r="U245" s="45"/>
    </row>
    <row r="246" spans="1:21" ht="18.75" hidden="1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545">
        <f ca="1">IFERROR(__xludf.DUMMYFUNCTION("IMPORTRANGE(""https://docs.google.com/spreadsheets/d/1eHaY18a8A9IcSdp1K8H6x8fbOy06t2VsZHhMHf-1x7Y/edit?usp=sharing"",""แผน!AZ21"")"),0)</f>
        <v>0</v>
      </c>
      <c r="M246" s="45"/>
      <c r="N246" s="737">
        <v>0</v>
      </c>
      <c r="O246" s="45"/>
      <c r="P246" s="45"/>
      <c r="Q246" s="45"/>
      <c r="R246" s="45"/>
      <c r="S246" s="45"/>
      <c r="T246" s="45"/>
      <c r="U246" s="45"/>
    </row>
    <row r="247" spans="1:21" ht="18.75" hidden="1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545">
        <f ca="1">IFERROR(__xludf.DUMMYFUNCTION("IMPORTRANGE(""https://docs.google.com/spreadsheets/d/1eHaY18a8A9IcSdp1K8H6x8fbOy06t2VsZHhMHf-1x7Y/edit?usp=sharing"",""แผน!BA21"")"),0)</f>
        <v>0</v>
      </c>
      <c r="M247" s="45"/>
      <c r="N247" s="737">
        <v>0</v>
      </c>
      <c r="O247" s="45"/>
      <c r="P247" s="45"/>
      <c r="Q247" s="45"/>
      <c r="R247" s="45"/>
      <c r="S247" s="45"/>
      <c r="T247" s="45"/>
      <c r="U247" s="45"/>
    </row>
    <row r="248" spans="1:21" ht="19.5" hidden="1" x14ac:dyDescent="0.3">
      <c r="A248" s="138"/>
      <c r="B248" s="139"/>
      <c r="C248" s="736" t="s">
        <v>18</v>
      </c>
      <c r="D248" s="591" t="s">
        <v>38</v>
      </c>
      <c r="E248" s="141"/>
      <c r="F248" s="141"/>
      <c r="G248" s="142"/>
      <c r="H248" s="143"/>
      <c r="I248" s="135"/>
      <c r="J248" s="44"/>
      <c r="K248" s="45"/>
      <c r="L248" s="543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hidden="1" x14ac:dyDescent="0.25">
      <c r="A249" s="138"/>
      <c r="B249" s="139"/>
      <c r="C249" s="139"/>
      <c r="D249" s="179" t="s">
        <v>108</v>
      </c>
      <c r="E249" s="145"/>
      <c r="F249" s="145"/>
      <c r="G249" s="143"/>
      <c r="H249" s="733" t="s">
        <v>35</v>
      </c>
      <c r="I249" s="485">
        <f ca="1">IFERROR(__xludf.DUMMYFUNCTION("IMPORTRANGE(""https://docs.google.com/spreadsheets/d/1eHaY18a8A9IcSdp1K8H6x8fbOy06t2VsZHhMHf-1x7Y/edit?usp=sharing"",""แผน!BG21"")"),0)</f>
        <v>0</v>
      </c>
      <c r="J249" s="615">
        <v>0</v>
      </c>
      <c r="K249" s="83">
        <f ca="1">IF(I249&gt;0,J249*100/I249,0)</f>
        <v>0</v>
      </c>
      <c r="L249" s="543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hidden="1" x14ac:dyDescent="0.25">
      <c r="A250" s="138"/>
      <c r="B250" s="139"/>
      <c r="C250" s="139"/>
      <c r="D250" s="735" t="s">
        <v>43</v>
      </c>
      <c r="E250" s="145"/>
      <c r="F250" s="145"/>
      <c r="G250" s="143"/>
      <c r="H250" s="143"/>
      <c r="I250" s="44"/>
      <c r="J250" s="44"/>
      <c r="K250" s="45"/>
      <c r="L250" s="543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4" t="s">
        <v>109</v>
      </c>
      <c r="F251" s="145"/>
      <c r="G251" s="143"/>
      <c r="H251" s="733" t="s">
        <v>35</v>
      </c>
      <c r="I251" s="485">
        <v>0</v>
      </c>
      <c r="J251" s="615">
        <v>0</v>
      </c>
      <c r="K251" s="83">
        <f>IF(I251&gt;0,J251*100/I251,0)</f>
        <v>0</v>
      </c>
      <c r="L251" s="543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hidden="1" x14ac:dyDescent="0.25">
      <c r="A252" s="138"/>
      <c r="B252" s="139"/>
      <c r="C252" s="139"/>
      <c r="D252" s="139"/>
      <c r="E252" s="734" t="s">
        <v>110</v>
      </c>
      <c r="F252" s="145"/>
      <c r="G252" s="143"/>
      <c r="H252" s="733" t="s">
        <v>61</v>
      </c>
      <c r="I252" s="485">
        <v>0</v>
      </c>
      <c r="J252" s="615">
        <v>0</v>
      </c>
      <c r="K252" s="83">
        <f>IF(I252&gt;0,J252*100/I252,0)</f>
        <v>0</v>
      </c>
      <c r="L252" s="543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hidden="1" x14ac:dyDescent="0.3">
      <c r="A253" s="211"/>
      <c r="B253" s="212"/>
      <c r="C253" s="742" t="s">
        <v>112</v>
      </c>
      <c r="D253" s="214"/>
      <c r="E253" s="214"/>
      <c r="F253" s="214"/>
      <c r="G253" s="215"/>
      <c r="H253" s="741" t="s">
        <v>35</v>
      </c>
      <c r="I253" s="740">
        <f ca="1">I260</f>
        <v>0</v>
      </c>
      <c r="J253" s="740">
        <f>J260</f>
        <v>0</v>
      </c>
      <c r="K253" s="739">
        <f ca="1">IF(I253&gt;0,J253*100/I253,0)</f>
        <v>0</v>
      </c>
      <c r="L253" s="669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hidden="1" x14ac:dyDescent="0.3">
      <c r="A254" s="128"/>
      <c r="B254" s="40"/>
      <c r="C254" s="617" t="s">
        <v>18</v>
      </c>
      <c r="D254" s="738" t="s">
        <v>19</v>
      </c>
      <c r="E254" s="40"/>
      <c r="F254" s="40"/>
      <c r="G254" s="42"/>
      <c r="H254" s="480" t="s">
        <v>14</v>
      </c>
      <c r="I254" s="135"/>
      <c r="J254" s="135"/>
      <c r="K254" s="136"/>
      <c r="L254" s="548">
        <f ca="1">L255+L256+L257+L258</f>
        <v>0</v>
      </c>
      <c r="M254" s="45"/>
      <c r="N254" s="547">
        <f>N255+N256+N257+N258</f>
        <v>0</v>
      </c>
      <c r="O254" s="547">
        <f ca="1">IF(L254&gt;0,N254*100/L254,0)</f>
        <v>0</v>
      </c>
      <c r="P254" s="547">
        <f>IF(M254&gt;0,N254*100/M254,0)</f>
        <v>0</v>
      </c>
      <c r="Q254" s="45"/>
      <c r="R254" s="45"/>
      <c r="S254" s="45"/>
      <c r="T254" s="45"/>
      <c r="U254" s="45"/>
    </row>
    <row r="255" spans="1:21" ht="18.75" hidden="1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545">
        <f ca="1">IFERROR(__xludf.DUMMYFUNCTION("IMPORTRANGE(""https://docs.google.com/spreadsheets/d/1eHaY18a8A9IcSdp1K8H6x8fbOy06t2VsZHhMHf-1x7Y/edit?usp=sharing"",""แผน!BB21"")"),0)</f>
        <v>0</v>
      </c>
      <c r="M255" s="45"/>
      <c r="N255" s="737">
        <v>0</v>
      </c>
      <c r="O255" s="45"/>
      <c r="P255" s="45"/>
      <c r="Q255" s="45"/>
      <c r="R255" s="45"/>
      <c r="S255" s="45"/>
      <c r="T255" s="45"/>
      <c r="U255" s="45"/>
    </row>
    <row r="256" spans="1:21" ht="18.75" hidden="1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545">
        <f ca="1">IFERROR(__xludf.DUMMYFUNCTION("IMPORTRANGE(""https://docs.google.com/spreadsheets/d/1eHaY18a8A9IcSdp1K8H6x8fbOy06t2VsZHhMHf-1x7Y/edit?usp=sharing"",""แผน!BC21"")"),0)</f>
        <v>0</v>
      </c>
      <c r="M256" s="45"/>
      <c r="N256" s="737">
        <v>0</v>
      </c>
      <c r="O256" s="45"/>
      <c r="P256" s="45"/>
      <c r="Q256" s="45"/>
      <c r="R256" s="45"/>
      <c r="S256" s="45"/>
      <c r="T256" s="45"/>
      <c r="U256" s="45"/>
    </row>
    <row r="257" spans="1:21" ht="18.75" hidden="1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545">
        <f ca="1">IFERROR(__xludf.DUMMYFUNCTION("IMPORTRANGE(""https://docs.google.com/spreadsheets/d/1eHaY18a8A9IcSdp1K8H6x8fbOy06t2VsZHhMHf-1x7Y/edit?usp=sharing"",""แผน!BD21"")"),0)</f>
        <v>0</v>
      </c>
      <c r="M257" s="45"/>
      <c r="N257" s="737">
        <v>0</v>
      </c>
      <c r="O257" s="45"/>
      <c r="P257" s="45"/>
      <c r="Q257" s="45"/>
      <c r="R257" s="45"/>
      <c r="S257" s="45"/>
      <c r="T257" s="45"/>
      <c r="U257" s="45"/>
    </row>
    <row r="258" spans="1:21" ht="18.75" hidden="1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545">
        <f ca="1">IFERROR(__xludf.DUMMYFUNCTION("IMPORTRANGE(""https://docs.google.com/spreadsheets/d/1eHaY18a8A9IcSdp1K8H6x8fbOy06t2VsZHhMHf-1x7Y/edit?usp=sharing"",""แผน!BE21"")"),0)</f>
        <v>0</v>
      </c>
      <c r="M258" s="45"/>
      <c r="N258" s="737">
        <v>0</v>
      </c>
      <c r="O258" s="45"/>
      <c r="P258" s="45"/>
      <c r="Q258" s="45"/>
      <c r="R258" s="45"/>
      <c r="S258" s="45"/>
      <c r="T258" s="45"/>
      <c r="U258" s="45"/>
    </row>
    <row r="259" spans="1:21" ht="19.5" hidden="1" x14ac:dyDescent="0.3">
      <c r="A259" s="138"/>
      <c r="B259" s="139"/>
      <c r="C259" s="736" t="s">
        <v>18</v>
      </c>
      <c r="D259" s="591" t="s">
        <v>38</v>
      </c>
      <c r="E259" s="141"/>
      <c r="F259" s="141"/>
      <c r="G259" s="142"/>
      <c r="H259" s="143"/>
      <c r="I259" s="135"/>
      <c r="J259" s="44"/>
      <c r="K259" s="45"/>
      <c r="L259" s="543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hidden="1" x14ac:dyDescent="0.25">
      <c r="A260" s="138"/>
      <c r="B260" s="139"/>
      <c r="C260" s="139"/>
      <c r="D260" s="179" t="s">
        <v>108</v>
      </c>
      <c r="E260" s="145"/>
      <c r="F260" s="145"/>
      <c r="G260" s="143"/>
      <c r="H260" s="733" t="s">
        <v>35</v>
      </c>
      <c r="I260" s="485">
        <f ca="1">IFERROR(__xludf.DUMMYFUNCTION("IMPORTRANGE(""https://docs.google.com/spreadsheets/d/1eHaY18a8A9IcSdp1K8H6x8fbOy06t2VsZHhMHf-1x7Y/edit?usp=sharing"",""แผน!BH21"")"),0)</f>
        <v>0</v>
      </c>
      <c r="J260" s="615">
        <v>0</v>
      </c>
      <c r="K260" s="83">
        <f ca="1">IF(I260&gt;0,J260*100/I260,0)</f>
        <v>0</v>
      </c>
      <c r="L260" s="543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hidden="1" x14ac:dyDescent="0.25">
      <c r="A261" s="138"/>
      <c r="B261" s="139"/>
      <c r="C261" s="139"/>
      <c r="D261" s="735" t="s">
        <v>43</v>
      </c>
      <c r="E261" s="145"/>
      <c r="F261" s="145"/>
      <c r="G261" s="143"/>
      <c r="H261" s="143"/>
      <c r="I261" s="44"/>
      <c r="J261" s="44"/>
      <c r="K261" s="45"/>
      <c r="L261" s="543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4" t="s">
        <v>109</v>
      </c>
      <c r="F262" s="145"/>
      <c r="G262" s="143"/>
      <c r="H262" s="733" t="s">
        <v>35</v>
      </c>
      <c r="I262" s="44"/>
      <c r="J262" s="615">
        <v>0</v>
      </c>
      <c r="K262" s="83">
        <f>IF(I262&gt;0,J262*100/I262,0)</f>
        <v>0</v>
      </c>
      <c r="L262" s="543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hidden="1" x14ac:dyDescent="0.25">
      <c r="A263" s="138"/>
      <c r="B263" s="139"/>
      <c r="C263" s="139"/>
      <c r="D263" s="139"/>
      <c r="E263" s="734" t="s">
        <v>110</v>
      </c>
      <c r="F263" s="145"/>
      <c r="G263" s="143"/>
      <c r="H263" s="733" t="s">
        <v>61</v>
      </c>
      <c r="I263" s="44"/>
      <c r="J263" s="615">
        <v>0</v>
      </c>
      <c r="K263" s="83">
        <f>IF(I263&gt;0,J263*100/I263,0)</f>
        <v>0</v>
      </c>
      <c r="L263" s="543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732" t="s">
        <v>113</v>
      </c>
      <c r="B264" s="731"/>
      <c r="C264" s="731"/>
      <c r="D264" s="730"/>
      <c r="E264" s="730"/>
      <c r="F264" s="730"/>
      <c r="G264" s="729"/>
      <c r="H264" s="729"/>
      <c r="I264" s="728"/>
      <c r="J264" s="728"/>
      <c r="K264" s="726"/>
      <c r="L264" s="727"/>
      <c r="M264" s="726"/>
      <c r="N264" s="726"/>
      <c r="O264" s="726"/>
      <c r="P264" s="726"/>
      <c r="Q264" s="726"/>
      <c r="R264" s="726"/>
      <c r="S264" s="726"/>
      <c r="T264" s="726"/>
      <c r="U264" s="726"/>
    </row>
    <row r="265" spans="1:21" ht="19.5" x14ac:dyDescent="0.3">
      <c r="A265" s="725"/>
      <c r="B265" s="724" t="s">
        <v>114</v>
      </c>
      <c r="C265" s="723"/>
      <c r="D265" s="424"/>
      <c r="E265" s="424"/>
      <c r="F265" s="424"/>
      <c r="G265" s="425"/>
      <c r="H265" s="722" t="s">
        <v>35</v>
      </c>
      <c r="I265" s="721">
        <f ca="1">I276</f>
        <v>22</v>
      </c>
      <c r="J265" s="721">
        <f>J276</f>
        <v>22</v>
      </c>
      <c r="K265" s="720">
        <f ca="1">IF(I265&gt;0,J265*100/I265,0)</f>
        <v>100</v>
      </c>
      <c r="L265" s="719"/>
      <c r="M265" s="718"/>
      <c r="N265" s="718"/>
      <c r="O265" s="718"/>
      <c r="P265" s="718"/>
      <c r="Q265" s="718"/>
      <c r="R265" s="718"/>
      <c r="S265" s="718"/>
      <c r="T265" s="718"/>
      <c r="U265" s="718"/>
    </row>
    <row r="266" spans="1:21" ht="19.5" x14ac:dyDescent="0.3">
      <c r="A266" s="401"/>
      <c r="B266" s="411"/>
      <c r="C266" s="374" t="s">
        <v>18</v>
      </c>
      <c r="D266" s="404" t="s">
        <v>19</v>
      </c>
      <c r="E266" s="411"/>
      <c r="F266" s="411"/>
      <c r="G266" s="412"/>
      <c r="H266" s="717" t="s">
        <v>14</v>
      </c>
      <c r="I266" s="406"/>
      <c r="J266" s="406"/>
      <c r="K266" s="407"/>
      <c r="L266" s="716">
        <f ca="1">L267+L268</f>
        <v>5000</v>
      </c>
      <c r="M266" s="715">
        <f ca="1">M267+M268</f>
        <v>18900</v>
      </c>
      <c r="N266" s="715">
        <f ca="1">N267+N268</f>
        <v>14770</v>
      </c>
      <c r="O266" s="715">
        <f ca="1">IF(L266&gt;0,N266*100/L266,0)</f>
        <v>295.39999999999998</v>
      </c>
      <c r="P266" s="715">
        <f ca="1">IF(M266&gt;0,N266*100/M266,0)</f>
        <v>78.148148148148152</v>
      </c>
      <c r="Q266" s="715">
        <f ca="1">Q267+Q268</f>
        <v>50660</v>
      </c>
      <c r="R266" s="715">
        <f ca="1">R267+R268</f>
        <v>36460</v>
      </c>
      <c r="S266" s="715">
        <f ca="1">S267+S268</f>
        <v>36460</v>
      </c>
      <c r="T266" s="715">
        <f ca="1">IF(Q266&gt;0,S266*100/Q266,0)</f>
        <v>71.969996052112123</v>
      </c>
      <c r="U266" s="715">
        <f ca="1">IF(R266&gt;0,S266*100/R266,0)</f>
        <v>100</v>
      </c>
    </row>
    <row r="267" spans="1:21" ht="18.75" hidden="1" x14ac:dyDescent="0.25">
      <c r="A267" s="711"/>
      <c r="B267" s="710"/>
      <c r="C267" s="710"/>
      <c r="D267" s="710"/>
      <c r="E267" s="156" t="s">
        <v>20</v>
      </c>
      <c r="F267" s="710"/>
      <c r="G267" s="709"/>
      <c r="H267" s="157" t="s">
        <v>14</v>
      </c>
      <c r="I267" s="714"/>
      <c r="J267" s="714"/>
      <c r="K267" s="713"/>
      <c r="L267" s="546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hidden="1" x14ac:dyDescent="0.25">
      <c r="A268" s="401"/>
      <c r="B268" s="411"/>
      <c r="C268" s="411"/>
      <c r="D268" s="411"/>
      <c r="E268" s="410" t="s">
        <v>21</v>
      </c>
      <c r="F268" s="411"/>
      <c r="G268" s="412"/>
      <c r="H268" s="556" t="s">
        <v>14</v>
      </c>
      <c r="I268" s="406"/>
      <c r="J268" s="406"/>
      <c r="K268" s="407"/>
      <c r="L268" s="706">
        <f ca="1">L271+L274</f>
        <v>5000</v>
      </c>
      <c r="M268" s="558">
        <f ca="1">M271+M274</f>
        <v>18900</v>
      </c>
      <c r="N268" s="558">
        <f ca="1">N271+N274</f>
        <v>14770</v>
      </c>
      <c r="O268" s="558">
        <f ca="1">IF(L268&gt;0,N268*100/L268,0)</f>
        <v>295.39999999999998</v>
      </c>
      <c r="P268" s="558">
        <f ca="1">IF(M268&gt;0,N268*100/M268,0)</f>
        <v>78.148148148148152</v>
      </c>
      <c r="Q268" s="558">
        <f ca="1">Q271+Q274</f>
        <v>50660</v>
      </c>
      <c r="R268" s="558">
        <f ca="1">R271+R274</f>
        <v>36460</v>
      </c>
      <c r="S268" s="558">
        <f ca="1">S271+S274</f>
        <v>36460</v>
      </c>
      <c r="T268" s="558">
        <f ca="1">IF(Q268&gt;0,S268*100/Q268,0)</f>
        <v>71.969996052112123</v>
      </c>
      <c r="U268" s="558">
        <f ca="1">IF(R268&gt;0,S268*100/R268,0)</f>
        <v>100</v>
      </c>
    </row>
    <row r="269" spans="1:21" ht="18.75" x14ac:dyDescent="0.25">
      <c r="A269" s="401"/>
      <c r="B269" s="411"/>
      <c r="C269" s="411"/>
      <c r="D269" s="712" t="s">
        <v>22</v>
      </c>
      <c r="E269" s="411"/>
      <c r="F269" s="411"/>
      <c r="G269" s="412"/>
      <c r="H269" s="413" t="s">
        <v>14</v>
      </c>
      <c r="I269" s="416"/>
      <c r="J269" s="416"/>
      <c r="K269" s="417"/>
      <c r="L269" s="706">
        <f ca="1">L270+L271</f>
        <v>5000</v>
      </c>
      <c r="M269" s="558">
        <f ca="1">M270+M271</f>
        <v>18900</v>
      </c>
      <c r="N269" s="558">
        <f ca="1">N270+N271</f>
        <v>14770</v>
      </c>
      <c r="O269" s="558">
        <f ca="1">IF(L269&gt;0,N269*100/L269,0)</f>
        <v>295.39999999999998</v>
      </c>
      <c r="P269" s="558">
        <f ca="1">IF(M269&gt;0,N269*100/M269,0)</f>
        <v>78.148148148148152</v>
      </c>
      <c r="Q269" s="558">
        <f ca="1">Q270+Q271</f>
        <v>50660</v>
      </c>
      <c r="R269" s="558">
        <f ca="1">R270+R271</f>
        <v>36460</v>
      </c>
      <c r="S269" s="558">
        <f ca="1">S270+S271</f>
        <v>36460</v>
      </c>
      <c r="T269" s="558">
        <f ca="1">IF(Q269&gt;0,S269*100/Q269,0)</f>
        <v>71.969996052112123</v>
      </c>
      <c r="U269" s="558">
        <f ca="1">IF(R269&gt;0,S269*100/R269,0)</f>
        <v>100</v>
      </c>
    </row>
    <row r="270" spans="1:21" ht="18.75" hidden="1" x14ac:dyDescent="0.25">
      <c r="A270" s="711"/>
      <c r="B270" s="710"/>
      <c r="C270" s="710"/>
      <c r="D270" s="710"/>
      <c r="E270" s="156" t="s">
        <v>36</v>
      </c>
      <c r="F270" s="710"/>
      <c r="G270" s="709"/>
      <c r="H270" s="159" t="s">
        <v>14</v>
      </c>
      <c r="I270" s="708"/>
      <c r="J270" s="708"/>
      <c r="K270" s="707"/>
      <c r="L270" s="546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hidden="1" x14ac:dyDescent="0.25">
      <c r="A271" s="401"/>
      <c r="B271" s="411"/>
      <c r="C271" s="411"/>
      <c r="D271" s="411"/>
      <c r="E271" s="410" t="s">
        <v>37</v>
      </c>
      <c r="F271" s="411"/>
      <c r="G271" s="412"/>
      <c r="H271" s="413" t="s">
        <v>14</v>
      </c>
      <c r="I271" s="416"/>
      <c r="J271" s="416"/>
      <c r="K271" s="417"/>
      <c r="L271" s="706">
        <f ca="1">IFERROR(__xludf.DUMMYFUNCTION("IMPORTRANGE(""https://docs.google.com/spreadsheets/d/1-uDff_7J0KD5mKrp0Vvzr7lt3OU09vwQwhkpOPPYv2Y/edit?usp=sharing"",""งบพรบ!DE21"")"),5000)</f>
        <v>5000</v>
      </c>
      <c r="M271" s="558">
        <f ca="1">IFERROR(__xludf.DUMMYFUNCTION("IMPORTRANGE(""https://docs.google.com/spreadsheets/d/1-uDff_7J0KD5mKrp0Vvzr7lt3OU09vwQwhkpOPPYv2Y/edit?usp=sharing"",""งบพรบ!DJ21"")"),18900)</f>
        <v>18900</v>
      </c>
      <c r="N271" s="558">
        <f ca="1">IFERROR(__xludf.DUMMYFUNCTION("IMPORTRANGE(""https://docs.google.com/spreadsheets/d/1-uDff_7J0KD5mKrp0Vvzr7lt3OU09vwQwhkpOPPYv2Y/edit?usp=sharing"",""งบพรบ!DL21"")"),14770)</f>
        <v>14770</v>
      </c>
      <c r="O271" s="558">
        <f ca="1">IF(L271&gt;0,N271*100/L271,0)</f>
        <v>295.39999999999998</v>
      </c>
      <c r="P271" s="558">
        <f ca="1">IF(M271&gt;0,N271*100/M271,0)</f>
        <v>78.148148148148152</v>
      </c>
      <c r="Q271" s="558">
        <f ca="1">IFERROR(__xludf.DUMMYFUNCTION("IMPORTRANGE(""https://docs.google.com/spreadsheets/d/1ItG2mGa2ceCfYo0BwxsXqNm01IGEUdYcSSLTEv9YCik/edit?usp=sharing"",""เบิกจ่ายกองทุน!AP21"")"),50660)</f>
        <v>50660</v>
      </c>
      <c r="R271" s="558">
        <f ca="1">IFERROR(__xludf.DUMMYFUNCTION("IMPORTRANGE(""https://docs.google.com/spreadsheets/d/1ItG2mGa2ceCfYo0BwxsXqNm01IGEUdYcSSLTEv9YCik/edit?usp=sharing"",""เบิกจ่ายกองทุน!AQ21"")"),36460)</f>
        <v>36460</v>
      </c>
      <c r="S271" s="558">
        <f ca="1">IFERROR(__xludf.DUMMYFUNCTION("IMPORTRANGE(""https://docs.google.com/spreadsheets/d/1ItG2mGa2ceCfYo0BwxsXqNm01IGEUdYcSSLTEv9YCik/edit?usp=sharing"",""เบิกจ่ายกองทุน!AR21"")"),36460)</f>
        <v>36460</v>
      </c>
      <c r="T271" s="558">
        <f ca="1">IF(Q271&gt;0,S271*100/Q271,0)</f>
        <v>71.969996052112123</v>
      </c>
      <c r="U271" s="558">
        <f ca="1">IF(R271&gt;0,S271*100/R271,0)</f>
        <v>100</v>
      </c>
    </row>
    <row r="272" spans="1:21" ht="18.75" x14ac:dyDescent="0.25">
      <c r="A272" s="401"/>
      <c r="B272" s="411"/>
      <c r="C272" s="411"/>
      <c r="D272" s="712" t="s">
        <v>23</v>
      </c>
      <c r="E272" s="411"/>
      <c r="F272" s="411"/>
      <c r="G272" s="412"/>
      <c r="H272" s="420" t="s">
        <v>14</v>
      </c>
      <c r="I272" s="416"/>
      <c r="J272" s="416"/>
      <c r="K272" s="417"/>
      <c r="L272" s="706">
        <f ca="1">L273+L274</f>
        <v>0</v>
      </c>
      <c r="M272" s="558">
        <f ca="1">M273+M274</f>
        <v>0</v>
      </c>
      <c r="N272" s="558">
        <f ca="1">N273+N274</f>
        <v>0</v>
      </c>
      <c r="O272" s="558">
        <f ca="1">IF(L272&gt;0,N272*100/L272,0)</f>
        <v>0</v>
      </c>
      <c r="P272" s="558">
        <f ca="1">IF(M272&gt;0,N272*100/M272,0)</f>
        <v>0</v>
      </c>
      <c r="Q272" s="558">
        <f>Q273+Q274</f>
        <v>0</v>
      </c>
      <c r="R272" s="558">
        <f>R273+R274</f>
        <v>0</v>
      </c>
      <c r="S272" s="558">
        <f>S273+S274</f>
        <v>0</v>
      </c>
      <c r="T272" s="558">
        <f>IF(Q272&gt;0,S272*100/Q272,0)</f>
        <v>0</v>
      </c>
      <c r="U272" s="558">
        <f>IF(R272&gt;0,S272*100/R272,0)</f>
        <v>0</v>
      </c>
    </row>
    <row r="273" spans="1:21" ht="18.75" hidden="1" x14ac:dyDescent="0.25">
      <c r="A273" s="711"/>
      <c r="B273" s="710"/>
      <c r="C273" s="710"/>
      <c r="D273" s="710"/>
      <c r="E273" s="156" t="s">
        <v>20</v>
      </c>
      <c r="F273" s="710"/>
      <c r="G273" s="709"/>
      <c r="H273" s="159" t="s">
        <v>14</v>
      </c>
      <c r="I273" s="708"/>
      <c r="J273" s="708"/>
      <c r="K273" s="707"/>
      <c r="L273" s="546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hidden="1" x14ac:dyDescent="0.25">
      <c r="A274" s="401"/>
      <c r="B274" s="411"/>
      <c r="C274" s="411"/>
      <c r="D274" s="411"/>
      <c r="E274" s="410" t="s">
        <v>21</v>
      </c>
      <c r="F274" s="411"/>
      <c r="G274" s="412"/>
      <c r="H274" s="420" t="s">
        <v>14</v>
      </c>
      <c r="I274" s="416"/>
      <c r="J274" s="416"/>
      <c r="K274" s="417"/>
      <c r="L274" s="706">
        <f ca="1">IFERROR(__xludf.DUMMYFUNCTION("IMPORTRANGE(""https://docs.google.com/spreadsheets/d/1-uDff_7J0KD5mKrp0Vvzr7lt3OU09vwQwhkpOPPYv2Y/edit?usp=sharing"",""งบพรบ!DH21"")"),0)</f>
        <v>0</v>
      </c>
      <c r="M274" s="558">
        <f ca="1">IFERROR(__xludf.DUMMYFUNCTION("IMPORTRANGE(""https://docs.google.com/spreadsheets/d/1-uDff_7J0KD5mKrp0Vvzr7lt3OU09vwQwhkpOPPYv2Y/edit?usp=sharing"",""งบพรบ!DK21"")"),0)</f>
        <v>0</v>
      </c>
      <c r="N274" s="558">
        <f ca="1">IFERROR(__xludf.DUMMYFUNCTION("IMPORTRANGE(""https://docs.google.com/spreadsheets/d/1-uDff_7J0KD5mKrp0Vvzr7lt3OU09vwQwhkpOPPYv2Y/edit?usp=sharing"",""งบพรบ!DM21"")"),0)</f>
        <v>0</v>
      </c>
      <c r="O274" s="558">
        <f ca="1">IF(L274&gt;0,N274*100/L274,0)</f>
        <v>0</v>
      </c>
      <c r="P274" s="558">
        <f ca="1">IF(M274&gt;0,N274*100/M274,0)</f>
        <v>0</v>
      </c>
      <c r="Q274" s="558">
        <v>0</v>
      </c>
      <c r="R274" s="558">
        <v>0</v>
      </c>
      <c r="S274" s="558">
        <v>0</v>
      </c>
      <c r="T274" s="558">
        <f>IF(Q274&gt;0,S274*100/Q274,0)</f>
        <v>0</v>
      </c>
      <c r="U274" s="558">
        <f>IF(R274&gt;0,S274*100/R274,0)</f>
        <v>0</v>
      </c>
    </row>
    <row r="275" spans="1:21" ht="19.5" x14ac:dyDescent="0.3">
      <c r="A275" s="421"/>
      <c r="B275" s="422"/>
      <c r="C275" s="374" t="s">
        <v>18</v>
      </c>
      <c r="D275" s="705" t="s">
        <v>38</v>
      </c>
      <c r="E275" s="424"/>
      <c r="F275" s="424"/>
      <c r="G275" s="425"/>
      <c r="H275" s="428"/>
      <c r="I275" s="416"/>
      <c r="J275" s="416"/>
      <c r="K275" s="417"/>
      <c r="L275" s="704"/>
      <c r="M275" s="417"/>
      <c r="N275" s="417"/>
      <c r="O275" s="417"/>
      <c r="P275" s="417"/>
      <c r="Q275" s="417"/>
      <c r="R275" s="417"/>
      <c r="S275" s="417"/>
      <c r="T275" s="417"/>
      <c r="U275" s="417"/>
    </row>
    <row r="276" spans="1:21" ht="18.75" x14ac:dyDescent="0.25">
      <c r="A276" s="703"/>
      <c r="B276" s="308"/>
      <c r="C276" s="308"/>
      <c r="D276" s="702" t="s">
        <v>115</v>
      </c>
      <c r="E276" s="307"/>
      <c r="F276" s="307"/>
      <c r="G276" s="310"/>
      <c r="H276" s="311" t="s">
        <v>35</v>
      </c>
      <c r="I276" s="313">
        <f ca="1">IFERROR(__xludf.DUMMYFUNCTION("IMPORTRANGE(""https://docs.google.com/spreadsheets/d/1eHaY18a8A9IcSdp1K8H6x8fbOy06t2VsZHhMHf-1x7Y/edit?usp=sharing"",""แผน!EC21"")"),22)</f>
        <v>22</v>
      </c>
      <c r="J276" s="377">
        <v>22</v>
      </c>
      <c r="K276" s="376">
        <f ca="1">IF(I276&gt;0,J276*100/I276,0)</f>
        <v>100</v>
      </c>
      <c r="L276" s="543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hidden="1" x14ac:dyDescent="0.25">
      <c r="A277" s="249"/>
      <c r="B277" s="250"/>
      <c r="C277" s="250"/>
      <c r="D277" s="701" t="s">
        <v>116</v>
      </c>
      <c r="E277" s="252"/>
      <c r="F277" s="252"/>
      <c r="G277" s="253"/>
      <c r="H277" s="700" t="s">
        <v>35</v>
      </c>
      <c r="I277" s="488">
        <v>0</v>
      </c>
      <c r="J277" s="488">
        <v>0</v>
      </c>
      <c r="K277" s="699">
        <v>0</v>
      </c>
      <c r="L277" s="692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698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697">
        <f ca="1">I293</f>
        <v>10</v>
      </c>
      <c r="J280" s="697">
        <f>J293</f>
        <v>10</v>
      </c>
      <c r="K280" s="696">
        <f ca="1">IF(I280&gt;0,J280*100/I280,0)</f>
        <v>100</v>
      </c>
      <c r="L280" s="695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697">
        <f ca="1">I292</f>
        <v>100</v>
      </c>
      <c r="J281" s="697">
        <f>J292</f>
        <v>100</v>
      </c>
      <c r="K281" s="696">
        <f ca="1">IF(I281&gt;0,J281*100/I281,0)</f>
        <v>100</v>
      </c>
      <c r="L281" s="695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374" t="s">
        <v>18</v>
      </c>
      <c r="D282" s="60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548">
        <f ca="1">L283+L284</f>
        <v>174320</v>
      </c>
      <c r="M282" s="547">
        <f ca="1">M283+M284</f>
        <v>183590</v>
      </c>
      <c r="N282" s="547">
        <f ca="1">N283+N284</f>
        <v>175041.66</v>
      </c>
      <c r="O282" s="547">
        <f ca="1">IF(L282&gt;0,N282*100/L282,0)</f>
        <v>100.41398577329051</v>
      </c>
      <c r="P282" s="547">
        <f ca="1">IF(M282&gt;0,N282*100/M282,0)</f>
        <v>95.343787788005883</v>
      </c>
      <c r="Q282" s="547">
        <f>Q283+Q284</f>
        <v>0</v>
      </c>
      <c r="R282" s="547">
        <f>R283+R284</f>
        <v>0</v>
      </c>
      <c r="S282" s="547">
        <f>S283+S284</f>
        <v>0</v>
      </c>
      <c r="T282" s="547">
        <f>IF(Q282&gt;0,S282*100/Q282,0)</f>
        <v>0</v>
      </c>
      <c r="U282" s="547">
        <f>IF(R282&gt;0,S282*100/R282,0)</f>
        <v>0</v>
      </c>
    </row>
    <row r="283" spans="1:21" ht="18.75" hidden="1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546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hidden="1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545">
        <f ca="1">L287+L290</f>
        <v>174320</v>
      </c>
      <c r="M284" s="224">
        <f ca="1">M287+M290</f>
        <v>183590</v>
      </c>
      <c r="N284" s="224">
        <f ca="1">N287+N290</f>
        <v>175041.66</v>
      </c>
      <c r="O284" s="224">
        <f ca="1">IF(L284&gt;0,N284*100/L284,0)</f>
        <v>100.41398577329051</v>
      </c>
      <c r="P284" s="224">
        <f ca="1">IF(M284&gt;0,N284*100/M284,0)</f>
        <v>95.343787788005883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545">
        <f ca="1">L286+L287</f>
        <v>174320</v>
      </c>
      <c r="M285" s="224">
        <f ca="1">M286+M287</f>
        <v>183590</v>
      </c>
      <c r="N285" s="224">
        <f ca="1">N286+N287</f>
        <v>175041.66</v>
      </c>
      <c r="O285" s="224">
        <f ca="1">IF(L285&gt;0,N285*100/L285,0)</f>
        <v>100.41398577329051</v>
      </c>
      <c r="P285" s="224">
        <f ca="1">IF(M285&gt;0,N285*100/M285,0)</f>
        <v>95.343787788005883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hidden="1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546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hidden="1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545">
        <f ca="1">IFERROR(__xludf.DUMMYFUNCTION("IMPORTRANGE(""https://docs.google.com/spreadsheets/d/1-uDff_7J0KD5mKrp0Vvzr7lt3OU09vwQwhkpOPPYv2Y/edit?usp=sharing"",""งบพรบ!DO21"")"),174320)</f>
        <v>174320</v>
      </c>
      <c r="M287" s="224">
        <f ca="1">IFERROR(__xludf.DUMMYFUNCTION("IMPORTRANGE(""https://docs.google.com/spreadsheets/d/1-uDff_7J0KD5mKrp0Vvzr7lt3OU09vwQwhkpOPPYv2Y/edit?usp=sharing"",""งบพรบ!DT21"")"),183590)</f>
        <v>183590</v>
      </c>
      <c r="N287" s="224">
        <f ca="1">IFERROR(__xludf.DUMMYFUNCTION("IMPORTRANGE(""https://docs.google.com/spreadsheets/d/1-uDff_7J0KD5mKrp0Vvzr7lt3OU09vwQwhkpOPPYv2Y/edit?usp=sharing"",""งบพรบ!DV21"")"),175041.66)</f>
        <v>175041.66</v>
      </c>
      <c r="O287" s="224">
        <f ca="1">IF(L287&gt;0,N287*100/L287,0)</f>
        <v>100.41398577329051</v>
      </c>
      <c r="P287" s="224">
        <f ca="1">IF(M287&gt;0,N287*100/M287,0)</f>
        <v>95.343787788005883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545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hidden="1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546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hidden="1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545">
        <f ca="1">IFERROR(__xludf.DUMMYFUNCTION("IMPORTRANGE(""https://docs.google.com/spreadsheets/d/1-uDff_7J0KD5mKrp0Vvzr7lt3OU09vwQwhkpOPPYv2Y/edit?usp=sharing"",""งบพรบ!DR21"")"),0)</f>
        <v>0</v>
      </c>
      <c r="M290" s="224">
        <f ca="1">IFERROR(__xludf.DUMMYFUNCTION("IMPORTRANGE(""https://docs.google.com/spreadsheets/d/1-uDff_7J0KD5mKrp0Vvzr7lt3OU09vwQwhkpOPPYv2Y/edit?usp=sharing"",""งบพรบ!DU21"")"),0)</f>
        <v>0</v>
      </c>
      <c r="N290" s="224">
        <f ca="1">IFERROR(__xludf.DUMMYFUNCTION("IMPORTRANGE(""https://docs.google.com/spreadsheets/d/1-uDff_7J0KD5mKrp0Vvzr7lt3OU09vwQwhkpOPPYv2Y/edit?usp=sharing"",""งบพรบ!DW21"")"),0)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374" t="s">
        <v>18</v>
      </c>
      <c r="D291" s="570" t="s">
        <v>38</v>
      </c>
      <c r="E291" s="141"/>
      <c r="F291" s="141"/>
      <c r="G291" s="142"/>
      <c r="H291" s="143"/>
      <c r="I291" s="135"/>
      <c r="J291" s="135"/>
      <c r="K291" s="136"/>
      <c r="L291" s="563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IFERROR(__xludf.DUMMYFUNCTION("IMPORTRANGE(""https://docs.google.com/spreadsheets/d/1eHaY18a8A9IcSdp1K8H6x8fbOy06t2VsZHhMHf-1x7Y/edit?usp=sharing"",""แผน!EE21"")"),100)</f>
        <v>100</v>
      </c>
      <c r="J292" s="380">
        <v>100</v>
      </c>
      <c r="K292" s="569">
        <f ca="1">IF(I292&gt;0,J292*100/I292,0)</f>
        <v>100</v>
      </c>
      <c r="L292" s="563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38">
        <f ca="1">IFERROR(__xludf.DUMMYFUNCTION("IMPORTRANGE(""https://docs.google.com/spreadsheets/d/1eHaY18a8A9IcSdp1K8H6x8fbOy06t2VsZHhMHf-1x7Y/edit?usp=sharing"",""แผน!ED21"")"),10)</f>
        <v>10</v>
      </c>
      <c r="J293" s="338">
        <f>J296</f>
        <v>10</v>
      </c>
      <c r="K293" s="694">
        <f ca="1">IF(I293&gt;0,J293*100/I293,0)</f>
        <v>100</v>
      </c>
      <c r="L293" s="563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563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693">
        <f ca="1">IFERROR(__xludf.DUMMYFUNCTION("IMPORTRANGE(""https://docs.google.com/spreadsheets/d/1eHaY18a8A9IcSdp1K8H6x8fbOy06t2VsZHhMHf-1x7Y/edit?usp=sharing"",""แผน!ED21"")"),10)</f>
        <v>10</v>
      </c>
      <c r="J295" s="380">
        <v>10</v>
      </c>
      <c r="K295" s="569">
        <f ca="1">IF(I295&gt;0,J295*100/I295,0)</f>
        <v>100</v>
      </c>
      <c r="L295" s="563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693">
        <f ca="1">IFERROR(__xludf.DUMMYFUNCTION("IMPORTRANGE(""https://docs.google.com/spreadsheets/d/1eHaY18a8A9IcSdp1K8H6x8fbOy06t2VsZHhMHf-1x7Y/edit?usp=sharing"",""แผน!ED21"")"),10)</f>
        <v>10</v>
      </c>
      <c r="J296" s="380">
        <v>10</v>
      </c>
      <c r="K296" s="569">
        <f ca="1">IF(I296&gt;0,J296*100/I296,0)</f>
        <v>100</v>
      </c>
      <c r="L296" s="563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9.5" x14ac:dyDescent="0.3">
      <c r="A297" s="138"/>
      <c r="B297" s="139"/>
      <c r="C297" s="139"/>
      <c r="D297" s="145"/>
      <c r="E297" s="149" t="s">
        <v>315</v>
      </c>
      <c r="F297" s="145"/>
      <c r="G297" s="143"/>
      <c r="H297" s="143"/>
      <c r="I297" s="135"/>
      <c r="J297" s="135"/>
      <c r="K297" s="136"/>
      <c r="L297" s="563"/>
      <c r="M297" s="136"/>
      <c r="N297" s="136"/>
      <c r="O297" s="136"/>
      <c r="P297" s="136"/>
      <c r="Q297" s="136"/>
      <c r="R297" s="136"/>
      <c r="S297" s="136"/>
      <c r="T297" s="136"/>
      <c r="U297" s="136"/>
    </row>
    <row r="298" spans="1:21" ht="19.5" x14ac:dyDescent="0.3">
      <c r="A298" s="138"/>
      <c r="B298" s="139"/>
      <c r="C298" s="139"/>
      <c r="D298" s="145"/>
      <c r="E298" s="149" t="s">
        <v>123</v>
      </c>
      <c r="F298" s="145"/>
      <c r="G298" s="143"/>
      <c r="H298" s="150" t="s">
        <v>35</v>
      </c>
      <c r="I298" s="693">
        <f ca="1">IFERROR(__xludf.DUMMYFUNCTION("IMPORTRANGE(""https://docs.google.com/spreadsheets/d/1eHaY18a8A9IcSdp1K8H6x8fbOy06t2VsZHhMHf-1x7Y/edit?usp=sharing"",""แผน!ED21"")"),10)</f>
        <v>10</v>
      </c>
      <c r="J298" s="380">
        <v>10</v>
      </c>
      <c r="K298" s="569">
        <f ca="1">IF(I298&gt;0,J298*100/I298,0)</f>
        <v>100</v>
      </c>
      <c r="L298" s="563"/>
      <c r="M298" s="136"/>
      <c r="N298" s="136"/>
      <c r="O298" s="136"/>
      <c r="P298" s="136"/>
      <c r="Q298" s="136"/>
      <c r="R298" s="136"/>
      <c r="S298" s="136"/>
      <c r="T298" s="136"/>
      <c r="U298" s="136"/>
    </row>
    <row r="299" spans="1:21" ht="19.5" x14ac:dyDescent="0.3">
      <c r="A299" s="249"/>
      <c r="B299" s="250"/>
      <c r="C299" s="250"/>
      <c r="D299" s="252"/>
      <c r="E299" s="149" t="s">
        <v>124</v>
      </c>
      <c r="F299" s="252"/>
      <c r="G299" s="253"/>
      <c r="H299" s="150" t="s">
        <v>35</v>
      </c>
      <c r="I299" s="693">
        <f ca="1">IFERROR(__xludf.DUMMYFUNCTION("IMPORTRANGE(""https://docs.google.com/spreadsheets/d/1eHaY18a8A9IcSdp1K8H6x8fbOy06t2VsZHhMHf-1x7Y/edit?usp=sharing"",""แผน!ED21"")"),10)</f>
        <v>10</v>
      </c>
      <c r="J299" s="380">
        <v>10</v>
      </c>
      <c r="K299" s="569">
        <f ca="1">IF(I299&gt;0,J299*100/I299,0)</f>
        <v>100</v>
      </c>
      <c r="L299" s="692"/>
      <c r="M299" s="255"/>
      <c r="N299" s="255"/>
      <c r="O299" s="255"/>
      <c r="P299" s="255"/>
      <c r="Q299" s="255"/>
      <c r="R299" s="255"/>
      <c r="S299" s="255"/>
      <c r="T299" s="255"/>
      <c r="U299" s="255"/>
    </row>
    <row r="300" spans="1:21" ht="19.5" x14ac:dyDescent="0.3">
      <c r="A300" s="691" t="s">
        <v>314</v>
      </c>
      <c r="B300" s="278"/>
      <c r="C300" s="278"/>
      <c r="D300" s="278"/>
      <c r="E300" s="279"/>
      <c r="F300" s="279"/>
      <c r="G300" s="279"/>
      <c r="H300" s="279"/>
      <c r="I300" s="280"/>
      <c r="J300" s="280"/>
      <c r="K300" s="281"/>
      <c r="L300" s="281"/>
      <c r="M300" s="281"/>
      <c r="N300" s="281"/>
      <c r="O300" s="281"/>
      <c r="P300" s="282"/>
      <c r="Q300" s="281"/>
      <c r="R300" s="281"/>
      <c r="S300" s="281"/>
      <c r="T300" s="281"/>
      <c r="U300" s="282"/>
    </row>
    <row r="301" spans="1:21" ht="19.5" x14ac:dyDescent="0.3">
      <c r="A301" s="283" t="s">
        <v>129</v>
      </c>
      <c r="B301" s="284"/>
      <c r="C301" s="284"/>
      <c r="D301" s="285"/>
      <c r="E301" s="285"/>
      <c r="F301" s="285"/>
      <c r="G301" s="286"/>
      <c r="H301" s="286"/>
      <c r="I301" s="287"/>
      <c r="J301" s="287"/>
      <c r="K301" s="288"/>
      <c r="L301" s="681"/>
      <c r="M301" s="288"/>
      <c r="N301" s="288"/>
      <c r="O301" s="288"/>
      <c r="P301" s="288"/>
      <c r="Q301" s="288"/>
      <c r="R301" s="288"/>
      <c r="S301" s="288"/>
      <c r="T301" s="288"/>
      <c r="U301" s="288"/>
    </row>
    <row r="302" spans="1:21" ht="19.5" x14ac:dyDescent="0.3">
      <c r="A302" s="289"/>
      <c r="B302" s="290" t="s">
        <v>130</v>
      </c>
      <c r="C302" s="291"/>
      <c r="D302" s="291"/>
      <c r="E302" s="291"/>
      <c r="F302" s="291"/>
      <c r="G302" s="292"/>
      <c r="H302" s="293" t="s">
        <v>35</v>
      </c>
      <c r="I302" s="632">
        <f ca="1">I314</f>
        <v>25</v>
      </c>
      <c r="J302" s="632">
        <f>J314</f>
        <v>25</v>
      </c>
      <c r="K302" s="631">
        <f ca="1">IF(I302&gt;0,J302*100/I302,0)</f>
        <v>100</v>
      </c>
      <c r="L302" s="630"/>
      <c r="M302" s="296"/>
      <c r="N302" s="296"/>
      <c r="O302" s="296"/>
      <c r="P302" s="296"/>
      <c r="Q302" s="296"/>
      <c r="R302" s="296"/>
      <c r="S302" s="296"/>
      <c r="T302" s="296"/>
      <c r="U302" s="296"/>
    </row>
    <row r="303" spans="1:21" ht="19.5" x14ac:dyDescent="0.3">
      <c r="A303" s="128"/>
      <c r="B303" s="40"/>
      <c r="C303" s="374" t="s">
        <v>18</v>
      </c>
      <c r="D303" s="60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548">
        <f ca="1">L304+L305</f>
        <v>0</v>
      </c>
      <c r="M303" s="547">
        <f ca="1">M304+M305</f>
        <v>0</v>
      </c>
      <c r="N303" s="547">
        <f ca="1">N304+N305</f>
        <v>0</v>
      </c>
      <c r="O303" s="547">
        <f ca="1">IF(L303&gt;0,N303*100/L303,0)</f>
        <v>0</v>
      </c>
      <c r="P303" s="547">
        <f ca="1">IF(M303&gt;0,N303*100/M303,0)</f>
        <v>0</v>
      </c>
      <c r="Q303" s="547">
        <f ca="1">Q304+Q305</f>
        <v>228095.39</v>
      </c>
      <c r="R303" s="547">
        <f ca="1">R304+R305</f>
        <v>232295</v>
      </c>
      <c r="S303" s="547">
        <f ca="1">S304+S305</f>
        <v>188685</v>
      </c>
      <c r="T303" s="547">
        <f ca="1">IF(Q303&gt;0,S303*100/Q303,0)</f>
        <v>82.72196996177783</v>
      </c>
      <c r="U303" s="547">
        <f ca="1">IF(R303&gt;0,S303*100/R303,0)</f>
        <v>81.226457736929333</v>
      </c>
    </row>
    <row r="304" spans="1:21" ht="18.75" hidden="1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546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hidden="1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545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232295</v>
      </c>
      <c r="S305" s="224">
        <f ca="1">S308+S311</f>
        <v>188685</v>
      </c>
      <c r="T305" s="224">
        <f ca="1">IF(Q305&gt;0,S305*100/Q305,0)</f>
        <v>82.72196996177783</v>
      </c>
      <c r="U305" s="224">
        <f ca="1">IF(R305&gt;0,S305*100/R305,0)</f>
        <v>81.226457736929333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545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232295</v>
      </c>
      <c r="S306" s="224">
        <f ca="1">S307+S308</f>
        <v>188685</v>
      </c>
      <c r="T306" s="224">
        <f ca="1">IF(Q306&gt;0,S306*100/Q306,0)</f>
        <v>82.72196996177783</v>
      </c>
      <c r="U306" s="224">
        <f ca="1">IF(R306&gt;0,S306*100/R306,0)</f>
        <v>81.226457736929333</v>
      </c>
    </row>
    <row r="307" spans="1:21" ht="18.75" hidden="1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546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hidden="1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545">
        <f ca="1">IFERROR(__xludf.DUMMYFUNCTION("IMPORTRANGE(""https://docs.google.com/spreadsheets/d/1-uDff_7J0KD5mKrp0Vvzr7lt3OU09vwQwhkpOPPYv2Y/edit?usp=sharing"",""งบพรบ!DY21"")"),0)</f>
        <v>0</v>
      </c>
      <c r="M308" s="224">
        <f ca="1">IFERROR(__xludf.DUMMYFUNCTION("IMPORTRANGE(""https://docs.google.com/spreadsheets/d/1-uDff_7J0KD5mKrp0Vvzr7lt3OU09vwQwhkpOPPYv2Y/edit?usp=sharing"",""งบพรบ!ED21"")"),0)</f>
        <v>0</v>
      </c>
      <c r="N308" s="224">
        <f ca="1">IFERROR(__xludf.DUMMYFUNCTION("IMPORTRANGE(""https://docs.google.com/spreadsheets/d/1-uDff_7J0KD5mKrp0Vvzr7lt3OU09vwQwhkpOPPYv2Y/edit?usp=sharing"",""งบพรบ!EF21"")"),0)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IFERROR(__xludf.DUMMYFUNCTION("IMPORTRANGE(""https://docs.google.com/spreadsheets/d/1ItG2mGa2ceCfYo0BwxsXqNm01IGEUdYcSSLTEv9YCik/edit?usp=sharing"",""เบิกจ่ายกองทุน!BB21"")"),228095.39)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IFERROR(__xludf.DUMMYFUNCTION("IMPORTRANGE(""https://docs.google.com/spreadsheets/d/1ItG2mGa2ceCfYo0BwxsXqNm01IGEUdYcSSLTEv9YCik/edit?usp=sharing"",""เบิกจ่ายกองทุน!BC21"")"),232295)</f>
        <v>232295</v>
      </c>
      <c r="S308" s="224">
        <f ca="1">IFERROR(__xludf.DUMMYFUNCTION("IMPORTRANGE(""https://docs.google.com/spreadsheets/d/1ItG2mGa2ceCfYo0BwxsXqNm01IGEUdYcSSLTEv9YCik/edit?usp=sharing"",""เบิกจ่ายกองทุน!BD21"")"),188685)</f>
        <v>188685</v>
      </c>
      <c r="T308" s="224">
        <f ca="1">IF(Q308&gt;0,S308*100/Q308,0)</f>
        <v>82.72196996177783</v>
      </c>
      <c r="U308" s="224">
        <f ca="1">IF(R308&gt;0,S308*100/R308,0)</f>
        <v>81.226457736929333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545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hidden="1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546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hidden="1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545">
        <f ca="1">IFERROR(__xludf.DUMMYFUNCTION("IMPORTRANGE(""https://docs.google.com/spreadsheets/d/1-uDff_7J0KD5mKrp0Vvzr7lt3OU09vwQwhkpOPPYv2Y/edit?usp=sharing"",""งบพรบ!EB21"")"),0)</f>
        <v>0</v>
      </c>
      <c r="M311" s="224">
        <f ca="1">IFERROR(__xludf.DUMMYFUNCTION("IMPORTRANGE(""https://docs.google.com/spreadsheets/d/1-uDff_7J0KD5mKrp0Vvzr7lt3OU09vwQwhkpOPPYv2Y/edit?usp=sharing"",""งบพรบ!EE21"")"),0)</f>
        <v>0</v>
      </c>
      <c r="N311" s="224">
        <f ca="1">IFERROR(__xludf.DUMMYFUNCTION("IMPORTRANGE(""https://docs.google.com/spreadsheets/d/1-uDff_7J0KD5mKrp0Vvzr7lt3OU09vwQwhkpOPPYv2Y/edit?usp=sharing"",""งบพรบ!EG21"")"),0)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374" t="s">
        <v>18</v>
      </c>
      <c r="D312" s="570" t="s">
        <v>38</v>
      </c>
      <c r="E312" s="141"/>
      <c r="F312" s="141"/>
      <c r="G312" s="142"/>
      <c r="H312" s="143"/>
      <c r="I312" s="44"/>
      <c r="J312" s="44"/>
      <c r="K312" s="45"/>
      <c r="L312" s="543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hidden="1" x14ac:dyDescent="0.25">
      <c r="A313" s="162"/>
      <c r="B313" s="163"/>
      <c r="C313" s="163"/>
      <c r="D313" s="690"/>
      <c r="E313" s="18"/>
      <c r="F313" s="18"/>
      <c r="G313" s="19"/>
      <c r="H313" s="19"/>
      <c r="I313" s="20"/>
      <c r="J313" s="688"/>
      <c r="K313" s="21"/>
      <c r="L313" s="682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IFERROR(__xludf.DUMMYFUNCTION("IMPORTRANGE(""https://docs.google.com/spreadsheets/d/1eHaY18a8A9IcSdp1K8H6x8fbOy06t2VsZHhMHf-1x7Y/edit?usp=sharing"",""แผน!EF21"")"),25)</f>
        <v>25</v>
      </c>
      <c r="J314" s="380">
        <v>25</v>
      </c>
      <c r="K314" s="224">
        <f ca="1">IF(I314&gt;0,J314*100/I314,0)</f>
        <v>100</v>
      </c>
      <c r="L314" s="543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hidden="1" x14ac:dyDescent="0.25">
      <c r="A315" s="162"/>
      <c r="B315" s="163"/>
      <c r="C315" s="163"/>
      <c r="D315" s="690"/>
      <c r="E315" s="18"/>
      <c r="F315" s="18"/>
      <c r="G315" s="19"/>
      <c r="H315" s="689"/>
      <c r="I315" s="688"/>
      <c r="J315" s="688"/>
      <c r="K315" s="687"/>
      <c r="L315" s="682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hidden="1" x14ac:dyDescent="0.25">
      <c r="A316" s="162"/>
      <c r="B316" s="163"/>
      <c r="C316" s="163"/>
      <c r="D316" s="690"/>
      <c r="E316" s="18"/>
      <c r="F316" s="18"/>
      <c r="G316" s="19"/>
      <c r="H316" s="689"/>
      <c r="I316" s="688"/>
      <c r="J316" s="688"/>
      <c r="K316" s="687"/>
      <c r="L316" s="682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hidden="1" x14ac:dyDescent="0.25">
      <c r="A317" s="162"/>
      <c r="B317" s="163"/>
      <c r="C317" s="163"/>
      <c r="D317" s="686"/>
      <c r="E317" s="18"/>
      <c r="F317" s="18"/>
      <c r="G317" s="19"/>
      <c r="H317" s="685"/>
      <c r="I317" s="684"/>
      <c r="J317" s="684"/>
      <c r="K317" s="683"/>
      <c r="L317" s="682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hidden="1" x14ac:dyDescent="0.3">
      <c r="A318" s="283" t="s">
        <v>134</v>
      </c>
      <c r="B318" s="284"/>
      <c r="C318" s="284"/>
      <c r="D318" s="285"/>
      <c r="E318" s="284"/>
      <c r="F318" s="284"/>
      <c r="G318" s="284"/>
      <c r="H318" s="285"/>
      <c r="I318" s="287"/>
      <c r="J318" s="287"/>
      <c r="K318" s="288"/>
      <c r="L318" s="681"/>
      <c r="M318" s="288"/>
      <c r="N318" s="288"/>
      <c r="O318" s="288"/>
      <c r="P318" s="288"/>
      <c r="Q318" s="288"/>
      <c r="R318" s="288"/>
      <c r="S318" s="288"/>
      <c r="T318" s="288"/>
      <c r="U318" s="288"/>
    </row>
    <row r="319" spans="1:21" ht="19.5" hidden="1" x14ac:dyDescent="0.3">
      <c r="A319" s="297"/>
      <c r="B319" s="290" t="s">
        <v>135</v>
      </c>
      <c r="C319" s="298"/>
      <c r="D319" s="299"/>
      <c r="E319" s="291"/>
      <c r="F319" s="291"/>
      <c r="G319" s="292"/>
      <c r="H319" s="293" t="s">
        <v>136</v>
      </c>
      <c r="I319" s="632">
        <f ca="1">I330</f>
        <v>0</v>
      </c>
      <c r="J319" s="632">
        <f>J330</f>
        <v>0</v>
      </c>
      <c r="K319" s="631">
        <f ca="1">IF(I319&gt;0,J319*100/I319,0)</f>
        <v>0</v>
      </c>
      <c r="L319" s="630"/>
      <c r="M319" s="296"/>
      <c r="N319" s="296"/>
      <c r="O319" s="296"/>
      <c r="P319" s="296"/>
      <c r="Q319" s="296"/>
      <c r="R319" s="296"/>
      <c r="S319" s="296"/>
      <c r="T319" s="296"/>
      <c r="U319" s="296"/>
    </row>
    <row r="320" spans="1:21" ht="19.5" hidden="1" x14ac:dyDescent="0.3">
      <c r="A320" s="128"/>
      <c r="B320" s="40"/>
      <c r="C320" s="129" t="s">
        <v>18</v>
      </c>
      <c r="D320" s="60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548">
        <f ca="1">L321+L322</f>
        <v>0</v>
      </c>
      <c r="M320" s="547">
        <f ca="1">M321+M322</f>
        <v>0</v>
      </c>
      <c r="N320" s="547">
        <f ca="1">N321+N322</f>
        <v>0</v>
      </c>
      <c r="O320" s="547">
        <f ca="1">IF(L320&gt;0,N320*100/L320,0)</f>
        <v>0</v>
      </c>
      <c r="P320" s="547">
        <f ca="1">IF(M320&gt;0,N320*100/M320,0)</f>
        <v>0</v>
      </c>
      <c r="Q320" s="547">
        <f>Q321+Q322</f>
        <v>0</v>
      </c>
      <c r="R320" s="547">
        <f>R321+R322</f>
        <v>0</v>
      </c>
      <c r="S320" s="547">
        <f>S321+S322</f>
        <v>0</v>
      </c>
      <c r="T320" s="547">
        <f>IF(Q320&gt;0,S320*100/Q320,0)</f>
        <v>0</v>
      </c>
      <c r="U320" s="547">
        <f>IF(R320&gt;0,S320*100/R320,0)</f>
        <v>0</v>
      </c>
    </row>
    <row r="321" spans="1:21" ht="18.75" hidden="1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546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hidden="1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545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hidden="1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545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hidden="1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546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hidden="1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545">
        <f ca="1">IFERROR(__xludf.DUMMYFUNCTION("IMPORTRANGE(""https://docs.google.com/spreadsheets/d/1-uDff_7J0KD5mKrp0Vvzr7lt3OU09vwQwhkpOPPYv2Y/edit?usp=sharing"",""งบพรบ!EI21"")"),0)</f>
        <v>0</v>
      </c>
      <c r="M325" s="224">
        <f ca="1">IFERROR(__xludf.DUMMYFUNCTION("IMPORTRANGE(""https://docs.google.com/spreadsheets/d/1-uDff_7J0KD5mKrp0Vvzr7lt3OU09vwQwhkpOPPYv2Y/edit?usp=sharing"",""งบพรบ!EN21"")"),0)</f>
        <v>0</v>
      </c>
      <c r="N325" s="224">
        <f ca="1">IFERROR(__xludf.DUMMYFUNCTION("IMPORTRANGE(""https://docs.google.com/spreadsheets/d/1-uDff_7J0KD5mKrp0Vvzr7lt3OU09vwQwhkpOPPYv2Y/edit?usp=sharing"",""งบพรบ!EP21"")"),0)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hidden="1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545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hidden="1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546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hidden="1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545">
        <f ca="1">IFERROR(__xludf.DUMMYFUNCTION("IMPORTRANGE(""https://docs.google.com/spreadsheets/d/1-uDff_7J0KD5mKrp0Vvzr7lt3OU09vwQwhkpOPPYv2Y/edit?usp=sharing"",""งบพรบ!EL21"")"),0)</f>
        <v>0</v>
      </c>
      <c r="M328" s="224">
        <f ca="1">IFERROR(__xludf.DUMMYFUNCTION("IMPORTRANGE(""https://docs.google.com/spreadsheets/d/1-uDff_7J0KD5mKrp0Vvzr7lt3OU09vwQwhkpOPPYv2Y/edit?usp=sharing"",""งบพรบ!EO21"")"),0)</f>
        <v>0</v>
      </c>
      <c r="N328" s="224">
        <f ca="1">IFERROR(__xludf.DUMMYFUNCTION("IMPORTRANGE(""https://docs.google.com/spreadsheets/d/1-uDff_7J0KD5mKrp0Vvzr7lt3OU09vwQwhkpOPPYv2Y/edit?usp=sharing"",""งบพรบ!EQ21"")"),0)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70" t="s">
        <v>38</v>
      </c>
      <c r="E329" s="141"/>
      <c r="F329" s="141"/>
      <c r="G329" s="142"/>
      <c r="H329" s="143"/>
      <c r="I329" s="135"/>
      <c r="J329" s="44"/>
      <c r="K329" s="45"/>
      <c r="L329" s="543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hidden="1" x14ac:dyDescent="0.25">
      <c r="A330" s="138"/>
      <c r="B330" s="139"/>
      <c r="C330" s="139"/>
      <c r="D330" s="144" t="s">
        <v>137</v>
      </c>
      <c r="E330" s="145"/>
      <c r="F330" s="145"/>
      <c r="G330" s="143"/>
      <c r="H330" s="43" t="s">
        <v>136</v>
      </c>
      <c r="I330" s="184">
        <f ca="1">IFERROR(__xludf.DUMMYFUNCTION("IMPORTRANGE(""https://docs.google.com/spreadsheets/d/1eHaY18a8A9IcSdp1K8H6x8fbOy06t2VsZHhMHf-1x7Y/edit?usp=sharing"",""แผน!EJ21"")"),0)</f>
        <v>0</v>
      </c>
      <c r="J330" s="380">
        <v>0</v>
      </c>
      <c r="K330" s="224">
        <f ca="1">IF(I330&gt;0,J330*100/I330,0)</f>
        <v>0</v>
      </c>
      <c r="L330" s="543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3" t="s">
        <v>138</v>
      </c>
      <c r="B331" s="284"/>
      <c r="C331" s="284"/>
      <c r="D331" s="285"/>
      <c r="E331" s="284"/>
      <c r="F331" s="284"/>
      <c r="G331" s="284"/>
      <c r="H331" s="285"/>
      <c r="I331" s="287"/>
      <c r="J331" s="287"/>
      <c r="K331" s="288"/>
      <c r="L331" s="681"/>
      <c r="M331" s="288"/>
      <c r="N331" s="288"/>
      <c r="O331" s="288"/>
      <c r="P331" s="288"/>
      <c r="Q331" s="288"/>
      <c r="R331" s="288"/>
      <c r="S331" s="288"/>
      <c r="T331" s="288"/>
      <c r="U331" s="288"/>
    </row>
    <row r="332" spans="1:21" ht="19.5" x14ac:dyDescent="0.3">
      <c r="A332" s="289"/>
      <c r="B332" s="290" t="s">
        <v>139</v>
      </c>
      <c r="C332" s="299"/>
      <c r="D332" s="291"/>
      <c r="E332" s="291"/>
      <c r="F332" s="291"/>
      <c r="G332" s="292"/>
      <c r="H332" s="293" t="s">
        <v>35</v>
      </c>
      <c r="I332" s="680">
        <f ca="1">IFERROR(__xludf.DUMMYFUNCTION("IMPORTRANGE(""https://docs.google.com/spreadsheets/d/1eHaY18a8A9IcSdp1K8H6x8fbOy06t2VsZHhMHf-1x7Y/edit?usp=sharing"",""แผน!EK21"")"),1000)</f>
        <v>1000</v>
      </c>
      <c r="J332" s="300">
        <f ca="1">J344+J347+J348+J349+J353+J354</f>
        <v>3083</v>
      </c>
      <c r="K332" s="679">
        <f ca="1">IF(I332&gt;0,J332*100/I332,0)</f>
        <v>308.3</v>
      </c>
      <c r="L332" s="630"/>
      <c r="M332" s="296"/>
      <c r="N332" s="296"/>
      <c r="O332" s="296"/>
      <c r="P332" s="296"/>
      <c r="Q332" s="296"/>
      <c r="R332" s="296"/>
      <c r="S332" s="296"/>
      <c r="T332" s="296"/>
      <c r="U332" s="296"/>
    </row>
    <row r="333" spans="1:21" ht="19.5" x14ac:dyDescent="0.3">
      <c r="A333" s="128"/>
      <c r="B333" s="40"/>
      <c r="C333" s="374" t="s">
        <v>18</v>
      </c>
      <c r="D333" s="60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548">
        <f ca="1">L334+L335</f>
        <v>176000</v>
      </c>
      <c r="M333" s="547">
        <f ca="1">M334+M335</f>
        <v>176000</v>
      </c>
      <c r="N333" s="547">
        <f ca="1">N334+N335</f>
        <v>136933.25</v>
      </c>
      <c r="O333" s="547">
        <f ca="1">IF(L333&gt;0,N333*100/L333,0)</f>
        <v>77.802982954545456</v>
      </c>
      <c r="P333" s="547">
        <f ca="1">IF(M333&gt;0,N333*100/M333,0)</f>
        <v>77.802982954545456</v>
      </c>
      <c r="Q333" s="547">
        <f>Q334+Q335</f>
        <v>0</v>
      </c>
      <c r="R333" s="547">
        <f>R334+R335</f>
        <v>0</v>
      </c>
      <c r="S333" s="547">
        <f>S334+S335</f>
        <v>0</v>
      </c>
      <c r="T333" s="547">
        <f>IF(Q333&gt;0,S333*100/Q333,0)</f>
        <v>0</v>
      </c>
      <c r="U333" s="547">
        <f>IF(R333&gt;0,S333*100/R333,0)</f>
        <v>0</v>
      </c>
    </row>
    <row r="334" spans="1:21" ht="18.75" hidden="1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546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hidden="1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545">
        <f ca="1">L338+L341</f>
        <v>176000</v>
      </c>
      <c r="M335" s="224">
        <f ca="1">M338+M341</f>
        <v>176000</v>
      </c>
      <c r="N335" s="224">
        <f ca="1">N338+N341</f>
        <v>136933.25</v>
      </c>
      <c r="O335" s="224">
        <f ca="1">IF(L335&gt;0,N335*100/L335,0)</f>
        <v>77.802982954545456</v>
      </c>
      <c r="P335" s="224">
        <f ca="1">IF(M335&gt;0,N335*100/M335,0)</f>
        <v>77.802982954545456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545">
        <f ca="1">L337+L338</f>
        <v>176000</v>
      </c>
      <c r="M336" s="224">
        <f ca="1">M337+M338</f>
        <v>176000</v>
      </c>
      <c r="N336" s="224">
        <f ca="1">N337+N338</f>
        <v>136933.25</v>
      </c>
      <c r="O336" s="224">
        <f ca="1">IF(L336&gt;0,N336*100/L336,0)</f>
        <v>77.802982954545456</v>
      </c>
      <c r="P336" s="224">
        <f ca="1">IF(M336&gt;0,N336*100/M336,0)</f>
        <v>77.802982954545456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hidden="1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546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hidden="1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545">
        <f ca="1">IFERROR(__xludf.DUMMYFUNCTION("IMPORTRANGE(""https://docs.google.com/spreadsheets/d/1-uDff_7J0KD5mKrp0Vvzr7lt3OU09vwQwhkpOPPYv2Y/edit?usp=sharing"",""งบพรบ!ES21"")"),176000)</f>
        <v>176000</v>
      </c>
      <c r="M338" s="224">
        <f ca="1">IFERROR(__xludf.DUMMYFUNCTION("IMPORTRANGE(""https://docs.google.com/spreadsheets/d/1-uDff_7J0KD5mKrp0Vvzr7lt3OU09vwQwhkpOPPYv2Y/edit?usp=sharing"",""งบพรบ!EX21"")"),176000)</f>
        <v>176000</v>
      </c>
      <c r="N338" s="224">
        <f ca="1">IFERROR(__xludf.DUMMYFUNCTION("IMPORTRANGE(""https://docs.google.com/spreadsheets/d/1-uDff_7J0KD5mKrp0Vvzr7lt3OU09vwQwhkpOPPYv2Y/edit?usp=sharing"",""งบพรบ!EZ21"")"),136933.25)</f>
        <v>136933.25</v>
      </c>
      <c r="O338" s="224">
        <f ca="1">IF(L338&gt;0,N338*100/L338,0)</f>
        <v>77.802982954545456</v>
      </c>
      <c r="P338" s="224">
        <f ca="1">IF(M338&gt;0,N338*100/M338,0)</f>
        <v>77.802982954545456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545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hidden="1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546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hidden="1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545">
        <f ca="1">IFERROR(__xludf.DUMMYFUNCTION("IMPORTRANGE(""https://docs.google.com/spreadsheets/d/1-uDff_7J0KD5mKrp0Vvzr7lt3OU09vwQwhkpOPPYv2Y/edit?usp=sharing"",""งบพรบ!EV21"")"),0)</f>
        <v>0</v>
      </c>
      <c r="M341" s="224">
        <f ca="1">IFERROR(__xludf.DUMMYFUNCTION("IMPORTRANGE(""https://docs.google.com/spreadsheets/d/1-uDff_7J0KD5mKrp0Vvzr7lt3OU09vwQwhkpOPPYv2Y/edit?usp=sharing"",""งบพรบ!EY21"")"),0)</f>
        <v>0</v>
      </c>
      <c r="N341" s="224">
        <f ca="1">IFERROR(__xludf.DUMMYFUNCTION("IMPORTRANGE(""https://docs.google.com/spreadsheets/d/1-uDff_7J0KD5mKrp0Vvzr7lt3OU09vwQwhkpOPPYv2Y/edit?usp=sharing"",""งบพรบ!FA21"")"),0)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374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543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678"/>
      <c r="B343" s="675"/>
      <c r="C343" s="677"/>
      <c r="D343" s="675"/>
      <c r="E343" s="676" t="s">
        <v>140</v>
      </c>
      <c r="F343" s="675"/>
      <c r="G343" s="674"/>
      <c r="H343" s="673" t="s">
        <v>35</v>
      </c>
      <c r="I343" s="672">
        <v>0</v>
      </c>
      <c r="J343" s="672">
        <f ca="1">J344+J347+J348+J349</f>
        <v>305</v>
      </c>
      <c r="K343" s="671">
        <v>0</v>
      </c>
      <c r="L343" s="66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hidden="1" x14ac:dyDescent="0.25">
      <c r="A344" s="208"/>
      <c r="B344" s="40"/>
      <c r="C344" s="158"/>
      <c r="D344" s="145"/>
      <c r="E344" s="149" t="s">
        <v>141</v>
      </c>
      <c r="F344" s="40"/>
      <c r="G344" s="42"/>
      <c r="H344" s="210" t="s">
        <v>35</v>
      </c>
      <c r="I344" s="184"/>
      <c r="J344" s="184">
        <f ca="1">IFERROR(__xludf.DUMMYFUNCTION("IMPORTRANGE(""https://docs.google.com/spreadsheets/d/1awYsYK3VOup2i3Pq_Yjnu8DRu_mYwSBnCR2QPthd0rU/edit?usp=sharing"",""ศูนย์ยกเว้นโฉนด!D21"")"),288)</f>
        <v>288</v>
      </c>
      <c r="K344" s="224"/>
      <c r="L344" s="543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142</v>
      </c>
      <c r="F345" s="40"/>
      <c r="G345" s="42"/>
      <c r="H345" s="180"/>
      <c r="I345" s="44"/>
      <c r="J345" s="44"/>
      <c r="K345" s="45"/>
      <c r="L345" s="543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143</v>
      </c>
      <c r="G346" s="42"/>
      <c r="H346" s="175" t="s">
        <v>144</v>
      </c>
      <c r="I346" s="184">
        <f ca="1">IFERROR(__xludf.DUMMYFUNCTION("IMPORTRANGE(""https://docs.google.com/spreadsheets/d/1eHaY18a8A9IcSdp1K8H6x8fbOy06t2VsZHhMHf-1x7Y/edit?usp=sharing"",""แผน!EL21"")"),4)</f>
        <v>4</v>
      </c>
      <c r="J346" s="184">
        <f ca="1">IFERROR(__xludf.DUMMYFUNCTION("IMPORTRANGE(""https://docs.google.com/spreadsheets/d/1awYsYK3VOup2i3Pq_Yjnu8DRu_mYwSBnCR2QPthd0rU/edit?usp=sharing"",""ศูนย์รวม!E21"")"),8)</f>
        <v>8</v>
      </c>
      <c r="K346" s="224">
        <f ca="1">IF(I346&gt;0,J346*100/I346,0)</f>
        <v>200</v>
      </c>
      <c r="L346" s="543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hidden="1" x14ac:dyDescent="0.25">
      <c r="A347" s="208"/>
      <c r="B347" s="40"/>
      <c r="C347" s="158"/>
      <c r="D347" s="145"/>
      <c r="E347" s="145"/>
      <c r="F347" s="149" t="s">
        <v>334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IFERROR(__xludf.DUMMYFUNCTION("IMPORTRANGE(""https://docs.google.com/spreadsheets/d/1awYsYK3VOup2i3Pq_Yjnu8DRu_mYwSBnCR2QPthd0rU/edit?usp=sharing"",""ศูนย์ยกเว้นโฉนด!F21"")"),1)</f>
        <v>1</v>
      </c>
      <c r="K347" s="45"/>
      <c r="L347" s="543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hidden="1" x14ac:dyDescent="0.25">
      <c r="A348" s="208"/>
      <c r="B348" s="40"/>
      <c r="C348" s="158"/>
      <c r="D348" s="145"/>
      <c r="E348" s="149" t="s">
        <v>146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IFERROR(__xludf.DUMMYFUNCTION("IMPORTRANGE(""https://docs.google.com/spreadsheets/d/1awYsYK3VOup2i3Pq_Yjnu8DRu_mYwSBnCR2QPthd0rU/edit?usp=sharing"",""ศูนย์ยกเว้นโฉนด!G21"")"),16)</f>
        <v>16</v>
      </c>
      <c r="K348" s="45"/>
      <c r="L348" s="543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hidden="1" x14ac:dyDescent="0.25">
      <c r="A349" s="208"/>
      <c r="B349" s="40"/>
      <c r="C349" s="158"/>
      <c r="D349" s="139"/>
      <c r="E349" s="149" t="s">
        <v>147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IFERROR(__xludf.DUMMYFUNCTION("IMPORTRANGE(""https://docs.google.com/spreadsheets/d/1awYsYK3VOup2i3Pq_Yjnu8DRu_mYwSBnCR2QPthd0rU/edit?usp=sharing"",""ศูนย์ยกเว้นโฉนด!H21"")"),0)</f>
        <v>0</v>
      </c>
      <c r="K349" s="45"/>
      <c r="L349" s="543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hidden="1" x14ac:dyDescent="0.25">
      <c r="A350" s="208"/>
      <c r="B350" s="40"/>
      <c r="C350" s="158"/>
      <c r="D350" s="304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 ก.ย. 67 เวลา 10.45 น.]")</f>
        <v xml:space="preserve"> [ข้อมูลจาก ระบบศูนย์บริการประชาชน ข้อมูล ณ 2 ก.ย. 67 เวลา 10.45 น.]</v>
      </c>
      <c r="E350" s="40"/>
      <c r="F350" s="40"/>
      <c r="G350" s="42"/>
      <c r="H350" s="180"/>
      <c r="I350" s="44"/>
      <c r="J350" s="44"/>
      <c r="K350" s="45"/>
      <c r="L350" s="543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670" t="s">
        <v>148</v>
      </c>
      <c r="F351" s="214"/>
      <c r="G351" s="215"/>
      <c r="H351" s="216" t="s">
        <v>35</v>
      </c>
      <c r="I351" s="302">
        <v>0</v>
      </c>
      <c r="J351" s="302">
        <f ca="1">J353+J354</f>
        <v>2778</v>
      </c>
      <c r="K351" s="303">
        <v>0</v>
      </c>
      <c r="L351" s="66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hidden="1" x14ac:dyDescent="0.25">
      <c r="A352" s="208"/>
      <c r="B352" s="40"/>
      <c r="C352" s="158"/>
      <c r="D352" s="145"/>
      <c r="E352" s="149" t="s">
        <v>149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IFERROR(__xludf.DUMMYFUNCTION("IMPORTRANGE(""https://docs.google.com/spreadsheets/d/1awYsYK3VOup2i3Pq_Yjnu8DRu_mYwSBnCR2QPthd0rU/edit?usp=sharing"",""โฉนดM3!G21"")"),141)</f>
        <v>141</v>
      </c>
      <c r="K352" s="45"/>
      <c r="L352" s="543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208"/>
      <c r="B353" s="40"/>
      <c r="C353" s="158"/>
      <c r="D353" s="145"/>
      <c r="E353" s="149" t="s">
        <v>150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IFERROR(__xludf.DUMMYFUNCTION("IMPORTRANGE(""https://docs.google.com/spreadsheets/d/1awYsYK3VOup2i3Pq_Yjnu8DRu_mYwSBnCR2QPthd0rU/edit?usp=sharing"",""โฉนดM3!H21"")"),1831)</f>
        <v>1831</v>
      </c>
      <c r="K353" s="45"/>
      <c r="L353" s="543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8.75" x14ac:dyDescent="0.25">
      <c r="A354" s="306"/>
      <c r="B354" s="307"/>
      <c r="C354" s="308"/>
      <c r="D354" s="308"/>
      <c r="E354" s="309" t="s">
        <v>151</v>
      </c>
      <c r="F354" s="307"/>
      <c r="G354" s="310"/>
      <c r="H354" s="311" t="s">
        <v>35</v>
      </c>
      <c r="I354" s="312"/>
      <c r="J354" s="313">
        <f ca="1">IFERROR(__xludf.DUMMYFUNCTION("IMPORTRANGE(""https://docs.google.com/spreadsheets/d/1awYsYK3VOup2i3Pq_Yjnu8DRu_mYwSBnCR2QPthd0rU/edit?usp=sharing"",""โฉนดM3!I21"")"),947)</f>
        <v>947</v>
      </c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</row>
    <row r="355" spans="1:21" ht="19.5" x14ac:dyDescent="0.3">
      <c r="A355" s="289"/>
      <c r="B355" s="290" t="s">
        <v>152</v>
      </c>
      <c r="C355" s="299"/>
      <c r="D355" s="291"/>
      <c r="E355" s="291"/>
      <c r="F355" s="291"/>
      <c r="G355" s="292"/>
      <c r="H355" s="292"/>
      <c r="I355" s="315"/>
      <c r="J355" s="315"/>
      <c r="K355" s="296"/>
      <c r="L355" s="630"/>
      <c r="M355" s="296"/>
      <c r="N355" s="296"/>
      <c r="O355" s="296"/>
      <c r="P355" s="296"/>
      <c r="Q355" s="296"/>
      <c r="R355" s="296"/>
      <c r="S355" s="296"/>
      <c r="T355" s="296"/>
      <c r="U355" s="296"/>
    </row>
    <row r="356" spans="1:21" ht="19.5" x14ac:dyDescent="0.3">
      <c r="A356" s="128"/>
      <c r="B356" s="40"/>
      <c r="C356" s="374" t="s">
        <v>18</v>
      </c>
      <c r="D356" s="60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548">
        <f ca="1">L357+L358</f>
        <v>837450</v>
      </c>
      <c r="M356" s="547">
        <f ca="1">M357+M358</f>
        <v>1033800</v>
      </c>
      <c r="N356" s="547">
        <f ca="1">N357+N358</f>
        <v>844861.52</v>
      </c>
      <c r="O356" s="547">
        <f ca="1">IF(L356&gt;0,N356*100/L356,0)</f>
        <v>100.88501044838497</v>
      </c>
      <c r="P356" s="547">
        <f ca="1">IF(M356&gt;0,N356*100/M356,0)</f>
        <v>81.723884697233501</v>
      </c>
      <c r="Q356" s="547">
        <f>Q357+Q358</f>
        <v>0</v>
      </c>
      <c r="R356" s="547">
        <f>R357+R358</f>
        <v>0</v>
      </c>
      <c r="S356" s="547">
        <f>S357+S358</f>
        <v>0</v>
      </c>
      <c r="T356" s="547">
        <f>IF(Q356&gt;0,S356*100/Q356,0)</f>
        <v>0</v>
      </c>
      <c r="U356" s="547">
        <f>IF(R356&gt;0,S356*100/R356,0)</f>
        <v>0</v>
      </c>
    </row>
    <row r="357" spans="1:21" ht="18.75" hidden="1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546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hidden="1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545">
        <f ca="1">L361+L364</f>
        <v>837450</v>
      </c>
      <c r="M358" s="224">
        <f ca="1">M361+M364</f>
        <v>1033800</v>
      </c>
      <c r="N358" s="224">
        <f ca="1">N361+N364</f>
        <v>844861.52</v>
      </c>
      <c r="O358" s="224">
        <f ca="1">IF(L358&gt;0,N358*100/L358,0)</f>
        <v>100.88501044838497</v>
      </c>
      <c r="P358" s="224">
        <f ca="1">IF(M358&gt;0,N358*100/M358,0)</f>
        <v>81.723884697233501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545">
        <f ca="1">L360+L361</f>
        <v>837450</v>
      </c>
      <c r="M359" s="224">
        <f ca="1">M360+M361</f>
        <v>1033800</v>
      </c>
      <c r="N359" s="224">
        <f ca="1">N360+N361</f>
        <v>844861.52</v>
      </c>
      <c r="O359" s="224">
        <f ca="1">IF(L359&gt;0,N359*100/L359,0)</f>
        <v>100.88501044838497</v>
      </c>
      <c r="P359" s="224">
        <f ca="1">IF(M359&gt;0,N359*100/M359,0)</f>
        <v>81.723884697233501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hidden="1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546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hidden="1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545">
        <f ca="1">IFERROR(__xludf.DUMMYFUNCTION("IMPORTRANGE(""https://docs.google.com/spreadsheets/d/1-uDff_7J0KD5mKrp0Vvzr7lt3OU09vwQwhkpOPPYv2Y/edit?usp=sharing"",""งบพรบ!FC21"")"),837450)</f>
        <v>837450</v>
      </c>
      <c r="M361" s="224">
        <f ca="1">IFERROR(__xludf.DUMMYFUNCTION("IMPORTRANGE(""https://docs.google.com/spreadsheets/d/1-uDff_7J0KD5mKrp0Vvzr7lt3OU09vwQwhkpOPPYv2Y/edit?usp=sharing"",""งบพรบ!FH21"")"),1033800)</f>
        <v>1033800</v>
      </c>
      <c r="N361" s="224">
        <f ca="1">IFERROR(__xludf.DUMMYFUNCTION("IMPORTRANGE(""https://docs.google.com/spreadsheets/d/1-uDff_7J0KD5mKrp0Vvzr7lt3OU09vwQwhkpOPPYv2Y/edit?usp=sharing"",""งบพรบ!FJ21"")"),844861.52)</f>
        <v>844861.52</v>
      </c>
      <c r="O361" s="224">
        <f ca="1">IF(L361&gt;0,N361*100/L361,0)</f>
        <v>100.88501044838497</v>
      </c>
      <c r="P361" s="224">
        <f ca="1">IF(M361&gt;0,N361*100/M361,0)</f>
        <v>81.723884697233501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545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hidden="1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546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hidden="1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545">
        <f ca="1">IFERROR(__xludf.DUMMYFUNCTION("IMPORTRANGE(""https://docs.google.com/spreadsheets/d/1-uDff_7J0KD5mKrp0Vvzr7lt3OU09vwQwhkpOPPYv2Y/edit?usp=sharing"",""งบพรบ!FF21"")"),0)</f>
        <v>0</v>
      </c>
      <c r="M364" s="224">
        <f ca="1">IFERROR(__xludf.DUMMYFUNCTION("IMPORTRANGE(""https://docs.google.com/spreadsheets/d/1-uDff_7J0KD5mKrp0Vvzr7lt3OU09vwQwhkpOPPYv2Y/edit?usp=sharing"",""งบพรบ!FI21"")"),0)</f>
        <v>0</v>
      </c>
      <c r="N364" s="224">
        <f ca="1">IFERROR(__xludf.DUMMYFUNCTION("IMPORTRANGE(""https://docs.google.com/spreadsheets/d/1-uDff_7J0KD5mKrp0Vvzr7lt3OU09vwQwhkpOPPYv2Y/edit?usp=sharing"",""งบพรบ!FK21"")"),0)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670" t="s">
        <v>153</v>
      </c>
      <c r="E365" s="214"/>
      <c r="F365" s="214"/>
      <c r="G365" s="215"/>
      <c r="H365" s="223" t="s">
        <v>35</v>
      </c>
      <c r="I365" s="302">
        <f ca="1">I371</f>
        <v>458</v>
      </c>
      <c r="J365" s="302">
        <f ca="1">J371</f>
        <v>561</v>
      </c>
      <c r="K365" s="303">
        <f ca="1">IF(I365&gt;0,J365*100/I365,0)</f>
        <v>122.48908296943232</v>
      </c>
      <c r="L365" s="66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374" t="s">
        <v>18</v>
      </c>
      <c r="D366" s="570" t="s">
        <v>38</v>
      </c>
      <c r="E366" s="141"/>
      <c r="F366" s="141"/>
      <c r="G366" s="142"/>
      <c r="H366" s="143"/>
      <c r="I366" s="44"/>
      <c r="J366" s="44"/>
      <c r="K366" s="45"/>
      <c r="L366" s="563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154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IFERROR(__xludf.DUMMYFUNCTION("IMPORTRANGE(""https://docs.google.com/spreadsheets/d/1tdoBKaGub7dwA3U6UFTqxio9LNnvDCQjHKmttSEBsFQ/edit?usp=sharing"",""จัดที่ดิน!AB21"")"),140)</f>
        <v>140</v>
      </c>
      <c r="K367" s="224">
        <f>IF(I367&gt;0,J367*100/I367,0)</f>
        <v>0</v>
      </c>
      <c r="L367" s="563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IFERROR(__xludf.DUMMYFUNCTION("IMPORTRANGE(""https://docs.google.com/spreadsheets/d/1eHaY18a8A9IcSdp1K8H6x8fbOy06t2VsZHhMHf-1x7Y/edit?usp=sharing"",""แผน!EW21"")"),810)</f>
        <v>810</v>
      </c>
      <c r="J368" s="668">
        <f ca="1">IFERROR(__xludf.DUMMYFUNCTION("IMPORTRANGE(""https://docs.google.com/spreadsheets/d/1tdoBKaGub7dwA3U6UFTqxio9LNnvDCQjHKmttSEBsFQ/edit?usp=sharing"",""จัดที่ดิน!AC21"")"),1191.74)</f>
        <v>1191.74</v>
      </c>
      <c r="K368" s="224">
        <f ca="1">IF(I368&gt;0,J368*100/I368,0)</f>
        <v>147.12839506172838</v>
      </c>
      <c r="L368" s="563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155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IFERROR(__xludf.DUMMYFUNCTION("IMPORTRANGE(""https://docs.google.com/spreadsheets/d/1eHaY18a8A9IcSdp1K8H6x8fbOy06t2VsZHhMHf-1x7Y/edit?usp=sharing"",""แผน!EX21"")"),458)</f>
        <v>458</v>
      </c>
      <c r="J369" s="184">
        <f ca="1">IFERROR(__xludf.DUMMYFUNCTION("IMPORTRANGE(""https://docs.google.com/spreadsheets/d/1tdoBKaGub7dwA3U6UFTqxio9LNnvDCQjHKmttSEBsFQ/edit?usp=sharing"",""จัดที่ดิน!AD21"")"),571)</f>
        <v>571</v>
      </c>
      <c r="K369" s="224">
        <f ca="1">IF(I369&gt;0,J369*100/I369,0)</f>
        <v>124.67248908296943</v>
      </c>
      <c r="L369" s="563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668">
        <f ca="1">IFERROR(__xludf.DUMMYFUNCTION("IMPORTRANGE(""https://docs.google.com/spreadsheets/d/1tdoBKaGub7dwA3U6UFTqxio9LNnvDCQjHKmttSEBsFQ/edit?usp=sharing"",""จัดที่ดิน!AE21"")"),8652.09)</f>
        <v>8652.09</v>
      </c>
      <c r="K370" s="224">
        <f>IF(I370&gt;0,J370*100/I370,0)</f>
        <v>0</v>
      </c>
      <c r="L370" s="563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16" t="s">
        <v>156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IFERROR(__xludf.DUMMYFUNCTION("IMPORTRANGE(""https://docs.google.com/spreadsheets/d/1eHaY18a8A9IcSdp1K8H6x8fbOy06t2VsZHhMHf-1x7Y/edit?usp=sharing"",""แผน!EY21"")"),458)</f>
        <v>458</v>
      </c>
      <c r="J371" s="184">
        <f ca="1">IFERROR(__xludf.DUMMYFUNCTION("IMPORTRANGE(""https://docs.google.com/spreadsheets/d/1tdoBKaGub7dwA3U6UFTqxio9LNnvDCQjHKmttSEBsFQ/edit?usp=sharing"",""จัดที่ดิน!AF21"")"),561)</f>
        <v>561</v>
      </c>
      <c r="K371" s="224">
        <f ca="1">IF(I371&gt;0,J371*100/I371,0)</f>
        <v>122.48908296943232</v>
      </c>
      <c r="L371" s="563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668">
        <f ca="1">IFERROR(__xludf.DUMMYFUNCTION("IMPORTRANGE(""https://docs.google.com/spreadsheets/d/1tdoBKaGub7dwA3U6UFTqxio9LNnvDCQjHKmttSEBsFQ/edit?usp=sharing"",""จัดที่ดิน!AG21"")"),8596)</f>
        <v>8596</v>
      </c>
      <c r="K372" s="224">
        <f>IF(I372&gt;0,J372*100/I372,0)</f>
        <v>0</v>
      </c>
      <c r="L372" s="563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39"/>
      <c r="B373" s="1"/>
      <c r="C373" s="2"/>
      <c r="D373" s="317" t="str">
        <f ca="1">IFERROR(__xludf.DUMMYFUNCTION("IMPORTRANGE(""https://docs.google.com/spreadsheets/d/1gNPQPjxUj63ZZXIIIm2aX4x3w7PhAZpC9JuXdbpWwUQ/edit?usp=sharing"",""Sheet1!b4"")")," [ข้อมูลจาก ระบบ ALRO Land Online ข้อมูล ณ 2 ก.ย. 67 เวลา 07.56 น.]")</f>
        <v xml:space="preserve"> [ข้อมูลจาก ระบบ ALRO Land Online ข้อมูล ณ 2 ก.ย. 67 เวลา 07.56 น.]</v>
      </c>
      <c r="E373" s="1"/>
      <c r="F373" s="1"/>
      <c r="G373" s="52"/>
      <c r="H373" s="52"/>
      <c r="I373" s="54"/>
      <c r="J373" s="54"/>
      <c r="K373" s="3"/>
      <c r="L373" s="541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667"/>
      <c r="B374" s="666" t="s">
        <v>157</v>
      </c>
      <c r="C374" s="665"/>
      <c r="D374" s="664"/>
      <c r="E374" s="663"/>
      <c r="F374" s="663"/>
      <c r="G374" s="662"/>
      <c r="H374" s="661" t="s">
        <v>46</v>
      </c>
      <c r="I374" s="660">
        <f ca="1">I386+I388</f>
        <v>3000</v>
      </c>
      <c r="J374" s="660">
        <f ca="1">J386+J388</f>
        <v>3112</v>
      </c>
      <c r="K374" s="659">
        <f ca="1">IF(I374&gt;0,J374*100/I374,0)</f>
        <v>103.73333333333333</v>
      </c>
      <c r="L374" s="630"/>
      <c r="M374" s="296"/>
      <c r="N374" s="296"/>
      <c r="O374" s="296"/>
      <c r="P374" s="296"/>
      <c r="Q374" s="296"/>
      <c r="R374" s="296"/>
      <c r="S374" s="296"/>
      <c r="T374" s="296"/>
      <c r="U374" s="296"/>
    </row>
    <row r="375" spans="1:21" ht="19.5" x14ac:dyDescent="0.3">
      <c r="A375" s="128"/>
      <c r="B375" s="158"/>
      <c r="C375" s="374" t="s">
        <v>18</v>
      </c>
      <c r="D375" s="657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548">
        <f ca="1">L376+L377</f>
        <v>0</v>
      </c>
      <c r="M375" s="547">
        <f ca="1">M376+M377</f>
        <v>0</v>
      </c>
      <c r="N375" s="547">
        <f ca="1">N376+N377</f>
        <v>0</v>
      </c>
      <c r="O375" s="547">
        <f ca="1">IF(L375&gt;0,N375*100/L375,0)</f>
        <v>0</v>
      </c>
      <c r="P375" s="547">
        <f ca="1">IF(M375&gt;0,N375*100/M375,0)</f>
        <v>0</v>
      </c>
      <c r="Q375" s="547">
        <f ca="1">Q376+Q377</f>
        <v>187500</v>
      </c>
      <c r="R375" s="547">
        <f ca="1">R376+R377</f>
        <v>187500</v>
      </c>
      <c r="S375" s="547">
        <f ca="1">S376+S377</f>
        <v>85739.91</v>
      </c>
      <c r="T375" s="547">
        <f ca="1">IF(Q375&gt;0,S375*100/Q375,0)</f>
        <v>45.727952000000002</v>
      </c>
      <c r="U375" s="547">
        <f ca="1">IF(R375&gt;0,S375*100/R375,0)</f>
        <v>45.727952000000002</v>
      </c>
    </row>
    <row r="376" spans="1:21" ht="18.75" hidden="1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546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hidden="1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545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187500</v>
      </c>
      <c r="R377" s="224">
        <f ca="1">R380+R383</f>
        <v>187500</v>
      </c>
      <c r="S377" s="224">
        <f ca="1">S380+S383</f>
        <v>85739.91</v>
      </c>
      <c r="T377" s="224">
        <f ca="1">IF(Q377&gt;0,S377*100/Q377,0)</f>
        <v>45.727952000000002</v>
      </c>
      <c r="U377" s="224">
        <f ca="1">IF(R377&gt;0,S377*100/R377,0)</f>
        <v>45.727952000000002</v>
      </c>
    </row>
    <row r="378" spans="1:21" ht="18.75" x14ac:dyDescent="0.25">
      <c r="A378" s="128"/>
      <c r="B378" s="158"/>
      <c r="C378" s="158"/>
      <c r="D378" s="628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545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187500</v>
      </c>
      <c r="R378" s="224">
        <f ca="1">R379+R380</f>
        <v>187500</v>
      </c>
      <c r="S378" s="224">
        <f ca="1">S379+S380</f>
        <v>85739.91</v>
      </c>
      <c r="T378" s="224">
        <f ca="1">IF(Q378&gt;0,S378*100/Q378,0)</f>
        <v>45.727952000000002</v>
      </c>
      <c r="U378" s="224">
        <f ca="1">IF(R378&gt;0,S378*100/R378,0)</f>
        <v>45.727952000000002</v>
      </c>
    </row>
    <row r="379" spans="1:21" ht="18.75" hidden="1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546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hidden="1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545">
        <f ca="1">IFERROR(__xludf.DUMMYFUNCTION("IMPORTRANGE(""https://docs.google.com/spreadsheets/d/1-uDff_7J0KD5mKrp0Vvzr7lt3OU09vwQwhkpOPPYv2Y/edit?usp=sharing"",""งบพรบ!IE21"")"),0)</f>
        <v>0</v>
      </c>
      <c r="M380" s="224">
        <f ca="1">IFERROR(__xludf.DUMMYFUNCTION("IMPORTRANGE(""https://docs.google.com/spreadsheets/d/1-uDff_7J0KD5mKrp0Vvzr7lt3OU09vwQwhkpOPPYv2Y/edit?usp=sharing"",""งบพรบ!IJ21"")"),0)</f>
        <v>0</v>
      </c>
      <c r="N380" s="224">
        <f ca="1">IFERROR(__xludf.DUMMYFUNCTION("IMPORTRANGE(""https://docs.google.com/spreadsheets/d/1-uDff_7J0KD5mKrp0Vvzr7lt3OU09vwQwhkpOPPYv2Y/edit?usp=sharing"",""งบพรบ!IL21"")"),0)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IFERROR(__xludf.DUMMYFUNCTION("IMPORTRANGE(""https://docs.google.com/spreadsheets/d/1ItG2mGa2ceCfYo0BwxsXqNm01IGEUdYcSSLTEv9YCik/edit?usp=sharing"",""เบิกจ่ายกองทุน!BW21"")"),187500)</f>
        <v>187500</v>
      </c>
      <c r="R380" s="224">
        <f ca="1">IFERROR(__xludf.DUMMYFUNCTION("IMPORTRANGE(""https://docs.google.com/spreadsheets/d/1ItG2mGa2ceCfYo0BwxsXqNm01IGEUdYcSSLTEv9YCik/edit?usp=sharing"",""เบิกจ่ายกองทุน!BX21"")"),187500)</f>
        <v>187500</v>
      </c>
      <c r="S380" s="224">
        <f ca="1">IFERROR(__xludf.DUMMYFUNCTION("IMPORTRANGE(""https://docs.google.com/spreadsheets/d/1ItG2mGa2ceCfYo0BwxsXqNm01IGEUdYcSSLTEv9YCik/edit?usp=sharing"",""เบิกจ่ายกองทุน!BY21"")"),85739.91)</f>
        <v>85739.91</v>
      </c>
      <c r="T380" s="224">
        <f ca="1">IF(Q380&gt;0,S380*100/Q380,0)</f>
        <v>45.727952000000002</v>
      </c>
      <c r="U380" s="224">
        <f ca="1">IF(R380&gt;0,S380*100/R380,0)</f>
        <v>45.727952000000002</v>
      </c>
    </row>
    <row r="381" spans="1:21" ht="18.75" x14ac:dyDescent="0.25">
      <c r="A381" s="128"/>
      <c r="B381" s="158"/>
      <c r="C381" s="158"/>
      <c r="D381" s="628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545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hidden="1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546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hidden="1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545">
        <f ca="1">IFERROR(__xludf.DUMMYFUNCTION("IMPORTRANGE(""https://docs.google.com/spreadsheets/d/1-uDff_7J0KD5mKrp0Vvzr7lt3OU09vwQwhkpOPPYv2Y/edit?usp=sharing"",""งบพรบ!IH21"")"),0)</f>
        <v>0</v>
      </c>
      <c r="M383" s="224">
        <f ca="1">IFERROR(__xludf.DUMMYFUNCTION("IMPORTRANGE(""https://docs.google.com/spreadsheets/d/1-uDff_7J0KD5mKrp0Vvzr7lt3OU09vwQwhkpOPPYv2Y/edit?usp=sharing"",""งบพรบ!IK21"")"),0)</f>
        <v>0</v>
      </c>
      <c r="N383" s="224">
        <f ca="1">IFERROR(__xludf.DUMMYFUNCTION("IMPORTRANGE(""https://docs.google.com/spreadsheets/d/1-uDff_7J0KD5mKrp0Vvzr7lt3OU09vwQwhkpOPPYv2Y/edit?usp=sharing"",""งบพรบ!IM21"")"),0)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374" t="s">
        <v>18</v>
      </c>
      <c r="D384" s="562" t="s">
        <v>38</v>
      </c>
      <c r="E384" s="141"/>
      <c r="F384" s="141"/>
      <c r="G384" s="142"/>
      <c r="H384" s="178"/>
      <c r="I384" s="135"/>
      <c r="J384" s="44"/>
      <c r="K384" s="45"/>
      <c r="L384" s="543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158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IFERROR(__xludf.DUMMYFUNCTION("IMPORTRANGE(""https://docs.google.com/spreadsheets/d/1w5rwWK1o49a35cNtocGL0gxDwhFSTZUQu90BiH9_zqM/edit?usp=sharing"",""RTK!H21"")"),216)</f>
        <v>216</v>
      </c>
      <c r="K385" s="224">
        <f>IF(I385&gt;0,J385*100/I385,0)</f>
        <v>0</v>
      </c>
      <c r="L385" s="543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20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IFERROR(__xludf.DUMMYFUNCTION("IMPORTRANGE(""https://docs.google.com/spreadsheets/d/1w5rwWK1o49a35cNtocGL0gxDwhFSTZUQu90BiH9_zqM/edit?usp=sharing"",""RTK!G21"")"),3000)</f>
        <v>3000</v>
      </c>
      <c r="J386" s="184">
        <f ca="1">IFERROR(__xludf.DUMMYFUNCTION("IMPORTRANGE(""https://docs.google.com/spreadsheets/d/1w5rwWK1o49a35cNtocGL0gxDwhFSTZUQu90BiH9_zqM/edit?usp=sharing"",""RTK!I21"")"),3112)</f>
        <v>3112</v>
      </c>
      <c r="K386" s="224">
        <f ca="1">IF(I386&gt;0,J386*100/I386,0)</f>
        <v>103.73333333333333</v>
      </c>
      <c r="L386" s="543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658"/>
      <c r="B387" s="402"/>
      <c r="C387" s="402"/>
      <c r="D387" s="402"/>
      <c r="E387" s="419" t="s">
        <v>159</v>
      </c>
      <c r="F387" s="402"/>
      <c r="G387" s="560"/>
      <c r="H387" s="556" t="s">
        <v>34</v>
      </c>
      <c r="I387" s="559">
        <v>0</v>
      </c>
      <c r="J387" s="559">
        <f ca="1">IFERROR(__xludf.DUMMYFUNCTION("IMPORTRANGE(""https://docs.google.com/spreadsheets/d/1w5rwWK1o49a35cNtocGL0gxDwhFSTZUQu90BiH9_zqM/edit?usp=sharing"",""RTK!L21"")"),0)</f>
        <v>0</v>
      </c>
      <c r="K387" s="558">
        <f>IF(I387&gt;0,J387*100/I387,0)</f>
        <v>0</v>
      </c>
      <c r="L387" s="554"/>
      <c r="M387" s="407"/>
      <c r="N387" s="407"/>
      <c r="O387" s="407"/>
      <c r="P387" s="407"/>
      <c r="Q387" s="407"/>
      <c r="R387" s="407"/>
      <c r="S387" s="407"/>
      <c r="T387" s="407"/>
      <c r="U387" s="407"/>
    </row>
    <row r="388" spans="1:21" ht="18.75" x14ac:dyDescent="0.25">
      <c r="A388" s="658"/>
      <c r="B388" s="402"/>
      <c r="C388" s="402"/>
      <c r="D388" s="402"/>
      <c r="E388" s="402"/>
      <c r="F388" s="402"/>
      <c r="G388" s="560"/>
      <c r="H388" s="556" t="s">
        <v>46</v>
      </c>
      <c r="I388" s="559">
        <f ca="1">IFERROR(__xludf.DUMMYFUNCTION("IMPORTRANGE(""https://docs.google.com/spreadsheets/d/1w5rwWK1o49a35cNtocGL0gxDwhFSTZUQu90BiH9_zqM/edit?usp=sharing"",""RTK!K21"")"),0)</f>
        <v>0</v>
      </c>
      <c r="J388" s="559">
        <f ca="1">IFERROR(__xludf.DUMMYFUNCTION("IMPORTRANGE(""https://docs.google.com/spreadsheets/d/1w5rwWK1o49a35cNtocGL0gxDwhFSTZUQu90BiH9_zqM/edit?usp=sharing"",""RTK!M21"")"),0)</f>
        <v>0</v>
      </c>
      <c r="K388" s="558">
        <f ca="1">IF(I388&gt;0,J388*100/I388,0)</f>
        <v>0</v>
      </c>
      <c r="L388" s="554"/>
      <c r="M388" s="407"/>
      <c r="N388" s="407"/>
      <c r="O388" s="407"/>
      <c r="P388" s="407"/>
      <c r="Q388" s="407"/>
      <c r="R388" s="407"/>
      <c r="S388" s="407"/>
      <c r="T388" s="407"/>
      <c r="U388" s="407"/>
    </row>
    <row r="389" spans="1:21" ht="12.75" hidden="1" x14ac:dyDescent="0.2">
      <c r="A389" s="227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599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70"/>
      <c r="B390" s="324"/>
      <c r="C390" s="324"/>
      <c r="D390" s="324"/>
      <c r="E390" s="324"/>
      <c r="F390" s="324"/>
      <c r="G390" s="325"/>
      <c r="H390" s="325"/>
      <c r="I390" s="326"/>
      <c r="J390" s="326"/>
      <c r="K390" s="327"/>
      <c r="L390" s="568"/>
      <c r="M390" s="327"/>
      <c r="N390" s="327"/>
      <c r="O390" s="327"/>
      <c r="P390" s="327"/>
      <c r="Q390" s="327"/>
      <c r="R390" s="327"/>
      <c r="S390" s="327"/>
      <c r="T390" s="327"/>
      <c r="U390" s="327"/>
    </row>
    <row r="391" spans="1:21" ht="19.5" hidden="1" x14ac:dyDescent="0.3">
      <c r="A391" s="297"/>
      <c r="B391" s="318" t="s">
        <v>160</v>
      </c>
      <c r="C391" s="298"/>
      <c r="D391" s="299"/>
      <c r="E391" s="291"/>
      <c r="F391" s="291"/>
      <c r="G391" s="292"/>
      <c r="H391" s="319" t="s">
        <v>61</v>
      </c>
      <c r="I391" s="315">
        <f>I402</f>
        <v>0</v>
      </c>
      <c r="J391" s="315">
        <f>J402</f>
        <v>0</v>
      </c>
      <c r="K391" s="631">
        <f>IF(I391&gt;0,J391*100/I391,0)</f>
        <v>0</v>
      </c>
      <c r="L391" s="630"/>
      <c r="M391" s="296"/>
      <c r="N391" s="296"/>
      <c r="O391" s="296"/>
      <c r="P391" s="296"/>
      <c r="Q391" s="296"/>
      <c r="R391" s="296"/>
      <c r="S391" s="296"/>
      <c r="T391" s="296"/>
      <c r="U391" s="296"/>
    </row>
    <row r="392" spans="1:21" ht="19.5" hidden="1" x14ac:dyDescent="0.3">
      <c r="A392" s="128"/>
      <c r="B392" s="158"/>
      <c r="C392" s="161" t="s">
        <v>18</v>
      </c>
      <c r="D392" s="657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548">
        <f>L393+L394</f>
        <v>0</v>
      </c>
      <c r="M392" s="547">
        <f>M393+M394</f>
        <v>0</v>
      </c>
      <c r="N392" s="547">
        <f>N393+N394</f>
        <v>0</v>
      </c>
      <c r="O392" s="547">
        <f>IF(L392&gt;0,N392*100/L392,0)</f>
        <v>0</v>
      </c>
      <c r="P392" s="547">
        <f>IF(M392&gt;0,N392*100/M392,0)</f>
        <v>0</v>
      </c>
      <c r="Q392" s="547">
        <f ca="1">Q393+Q394</f>
        <v>0</v>
      </c>
      <c r="R392" s="547">
        <f ca="1">R393+R394</f>
        <v>0</v>
      </c>
      <c r="S392" s="547">
        <f ca="1">S393+S394</f>
        <v>0</v>
      </c>
      <c r="T392" s="547">
        <f ca="1">IF(Q392&gt;0,S392*100/Q392,0)</f>
        <v>0</v>
      </c>
      <c r="U392" s="547">
        <f ca="1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546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545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hidden="1" x14ac:dyDescent="0.25">
      <c r="A395" s="128"/>
      <c r="B395" s="158"/>
      <c r="C395" s="158"/>
      <c r="D395" s="628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545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546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545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IFERROR(__xludf.DUMMYFUNCTION("IMPORTRANGE(""https://docs.google.com/spreadsheets/d/1ItG2mGa2ceCfYo0BwxsXqNm01IGEUdYcSSLTEv9YCik/edit?usp=sharing"",""เบิกจ่ายกองทุน!CL21"")"),0)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IFERROR(__xludf.DUMMYFUNCTION("IMPORTRANGE(""https://docs.google.com/spreadsheets/d/1ItG2mGa2ceCfYo0BwxsXqNm01IGEUdYcSSLTEv9YCik/edit?usp=sharing"",""เบิกจ่ายกองทุน!CM21"")"),0)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IFERROR(__xludf.DUMMYFUNCTION("IMPORTRANGE(""https://docs.google.com/spreadsheets/d/1ItG2mGa2ceCfYo0BwxsXqNm01IGEUdYcSSLTEv9YCik/edit?usp=sharing"",""เบิกจ่ายกองทุน!CN21"")"),0)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hidden="1" x14ac:dyDescent="0.25">
      <c r="A398" s="128"/>
      <c r="B398" s="158"/>
      <c r="C398" s="158"/>
      <c r="D398" s="628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545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546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545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hidden="1" x14ac:dyDescent="0.3">
      <c r="A401" s="138"/>
      <c r="B401" s="139"/>
      <c r="C401" s="161" t="s">
        <v>18</v>
      </c>
      <c r="D401" s="562" t="s">
        <v>38</v>
      </c>
      <c r="E401" s="141"/>
      <c r="F401" s="141"/>
      <c r="G401" s="142"/>
      <c r="H401" s="178"/>
      <c r="I401" s="135"/>
      <c r="J401" s="44"/>
      <c r="K401" s="45"/>
      <c r="L401" s="543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599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7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599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7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599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7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599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7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599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7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599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7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599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7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599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7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599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70"/>
      <c r="B411" s="324"/>
      <c r="C411" s="324"/>
      <c r="D411" s="324"/>
      <c r="E411" s="324"/>
      <c r="F411" s="324"/>
      <c r="G411" s="325"/>
      <c r="H411" s="325"/>
      <c r="I411" s="326"/>
      <c r="J411" s="326"/>
      <c r="K411" s="327"/>
      <c r="L411" s="568"/>
      <c r="M411" s="327"/>
      <c r="N411" s="327"/>
      <c r="O411" s="327"/>
      <c r="P411" s="327"/>
      <c r="Q411" s="327"/>
      <c r="R411" s="327"/>
      <c r="S411" s="327"/>
      <c r="T411" s="327"/>
      <c r="U411" s="327"/>
    </row>
    <row r="412" spans="1:21" ht="19.5" x14ac:dyDescent="0.3">
      <c r="A412" s="289"/>
      <c r="B412" s="318" t="s">
        <v>161</v>
      </c>
      <c r="C412" s="299"/>
      <c r="D412" s="299"/>
      <c r="E412" s="299"/>
      <c r="F412" s="299"/>
      <c r="G412" s="328"/>
      <c r="H412" s="329" t="s">
        <v>46</v>
      </c>
      <c r="I412" s="632">
        <f ca="1">I423</f>
        <v>0</v>
      </c>
      <c r="J412" s="632">
        <f>J423</f>
        <v>0</v>
      </c>
      <c r="K412" s="631">
        <f ca="1">IF(I412&gt;0,J412*100/I412,0)</f>
        <v>0</v>
      </c>
      <c r="L412" s="630"/>
      <c r="M412" s="296"/>
      <c r="N412" s="296"/>
      <c r="O412" s="296"/>
      <c r="P412" s="296"/>
      <c r="Q412" s="296"/>
      <c r="R412" s="296"/>
      <c r="S412" s="296"/>
      <c r="T412" s="296"/>
      <c r="U412" s="296"/>
    </row>
    <row r="413" spans="1:21" ht="19.5" x14ac:dyDescent="0.3">
      <c r="A413" s="128"/>
      <c r="B413" s="158"/>
      <c r="C413" s="374" t="s">
        <v>18</v>
      </c>
      <c r="D413" s="818" t="s">
        <v>19</v>
      </c>
      <c r="E413" s="518"/>
      <c r="F413" s="518"/>
      <c r="G413" s="531"/>
      <c r="H413" s="331" t="s">
        <v>14</v>
      </c>
      <c r="I413" s="44"/>
      <c r="J413" s="44"/>
      <c r="K413" s="45"/>
      <c r="L413" s="548">
        <f ca="1">L414+L415</f>
        <v>131490</v>
      </c>
      <c r="M413" s="547">
        <f ca="1">M414+M415</f>
        <v>131490</v>
      </c>
      <c r="N413" s="547">
        <f ca="1">N414+N415</f>
        <v>106504.91</v>
      </c>
      <c r="O413" s="547">
        <f ca="1">IF(L413&gt;0,N413*100/L413,0)</f>
        <v>80.998486576925998</v>
      </c>
      <c r="P413" s="547">
        <f ca="1">IF(M413&gt;0,N413*100/M413,0)</f>
        <v>80.998486576925998</v>
      </c>
      <c r="Q413" s="547">
        <f ca="1">Q414+Q415</f>
        <v>26730</v>
      </c>
      <c r="R413" s="547">
        <f ca="1">R414+R415</f>
        <v>26730</v>
      </c>
      <c r="S413" s="547">
        <f ca="1">S414+S415</f>
        <v>24380</v>
      </c>
      <c r="T413" s="547">
        <f ca="1">IF(Q413&gt;0,S413*100/Q413,0)</f>
        <v>91.208380097268986</v>
      </c>
      <c r="U413" s="547">
        <f ca="1">IF(R413&gt;0,S413*100/R413,0)</f>
        <v>91.208380097268986</v>
      </c>
    </row>
    <row r="414" spans="1:21" ht="18.75" hidden="1" x14ac:dyDescent="0.25">
      <c r="A414" s="128"/>
      <c r="B414" s="158"/>
      <c r="C414" s="158"/>
      <c r="D414" s="308"/>
      <c r="E414" s="332" t="s">
        <v>162</v>
      </c>
      <c r="F414" s="308"/>
      <c r="G414" s="333"/>
      <c r="H414" s="176" t="s">
        <v>14</v>
      </c>
      <c r="I414" s="44"/>
      <c r="J414" s="44"/>
      <c r="K414" s="45"/>
      <c r="L414" s="546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hidden="1" x14ac:dyDescent="0.25">
      <c r="A415" s="128"/>
      <c r="B415" s="158"/>
      <c r="C415" s="158"/>
      <c r="D415" s="158"/>
      <c r="E415" s="209" t="s">
        <v>163</v>
      </c>
      <c r="F415" s="158"/>
      <c r="G415" s="180"/>
      <c r="H415" s="175" t="s">
        <v>14</v>
      </c>
      <c r="I415" s="44"/>
      <c r="J415" s="44"/>
      <c r="K415" s="45"/>
      <c r="L415" s="545">
        <f ca="1">L418+L421</f>
        <v>131490</v>
      </c>
      <c r="M415" s="224">
        <f ca="1">M418+M421</f>
        <v>131490</v>
      </c>
      <c r="N415" s="224">
        <f ca="1">N418+N421</f>
        <v>106504.91</v>
      </c>
      <c r="O415" s="224">
        <f ca="1">IF(L415&gt;0,N415*100/L415,0)</f>
        <v>80.998486576925998</v>
      </c>
      <c r="P415" s="224">
        <f ca="1">IF(M415&gt;0,N415*100/M415,0)</f>
        <v>80.998486576925998</v>
      </c>
      <c r="Q415" s="224">
        <f ca="1">Q418+Q421</f>
        <v>26730</v>
      </c>
      <c r="R415" s="224">
        <f ca="1">R418+R421</f>
        <v>26730</v>
      </c>
      <c r="S415" s="224">
        <f ca="1">S418+S421</f>
        <v>24380</v>
      </c>
      <c r="T415" s="224">
        <f ca="1">IF(Q415&gt;0,S415*100/Q415,0)</f>
        <v>91.208380097268986</v>
      </c>
      <c r="U415" s="224">
        <f ca="1">IF(R415&gt;0,S415*100/R415,0)</f>
        <v>91.208380097268986</v>
      </c>
    </row>
    <row r="416" spans="1:21" ht="18.75" x14ac:dyDescent="0.25">
      <c r="A416" s="128"/>
      <c r="B416" s="158"/>
      <c r="C416" s="158"/>
      <c r="D416" s="628" t="s">
        <v>22</v>
      </c>
      <c r="E416" s="158"/>
      <c r="F416" s="158"/>
      <c r="G416" s="180"/>
      <c r="H416" s="175" t="s">
        <v>14</v>
      </c>
      <c r="I416" s="44"/>
      <c r="J416" s="44"/>
      <c r="K416" s="45"/>
      <c r="L416" s="545">
        <f ca="1">L417+L418</f>
        <v>131490</v>
      </c>
      <c r="M416" s="224">
        <f ca="1">M417+M418</f>
        <v>131490</v>
      </c>
      <c r="N416" s="224">
        <f ca="1">N417+N418</f>
        <v>106504.91</v>
      </c>
      <c r="O416" s="224">
        <f ca="1">IF(L416&gt;0,N416*100/L416,0)</f>
        <v>80.998486576925998</v>
      </c>
      <c r="P416" s="224">
        <f ca="1">IF(M416&gt;0,N416*100/M416,0)</f>
        <v>80.998486576925998</v>
      </c>
      <c r="Q416" s="224">
        <f ca="1">Q417+Q418</f>
        <v>26730</v>
      </c>
      <c r="R416" s="224">
        <f ca="1">R417+R418</f>
        <v>26730</v>
      </c>
      <c r="S416" s="224">
        <f ca="1">S417+S418</f>
        <v>24380</v>
      </c>
      <c r="T416" s="224">
        <f ca="1">IF(Q416&gt;0,S416*100/Q416,0)</f>
        <v>91.208380097268986</v>
      </c>
      <c r="U416" s="224">
        <f ca="1">IF(R416&gt;0,S416*100/R416,0)</f>
        <v>91.208380097268986</v>
      </c>
    </row>
    <row r="417" spans="1:21" ht="18.75" hidden="1" x14ac:dyDescent="0.25">
      <c r="A417" s="128"/>
      <c r="B417" s="158"/>
      <c r="C417" s="158"/>
      <c r="D417" s="158"/>
      <c r="E417" s="322" t="s">
        <v>162</v>
      </c>
      <c r="F417" s="158"/>
      <c r="G417" s="180"/>
      <c r="H417" s="176" t="s">
        <v>14</v>
      </c>
      <c r="I417" s="44"/>
      <c r="J417" s="44"/>
      <c r="K417" s="45"/>
      <c r="L417" s="546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hidden="1" x14ac:dyDescent="0.25">
      <c r="A418" s="128"/>
      <c r="B418" s="158"/>
      <c r="C418" s="158"/>
      <c r="D418" s="158"/>
      <c r="E418" s="209" t="s">
        <v>163</v>
      </c>
      <c r="F418" s="158"/>
      <c r="G418" s="180"/>
      <c r="H418" s="175" t="s">
        <v>14</v>
      </c>
      <c r="I418" s="44"/>
      <c r="J418" s="44"/>
      <c r="K418" s="45"/>
      <c r="L418" s="545">
        <f ca="1">IFERROR(__xludf.DUMMYFUNCTION("IMPORTRANGE(""https://docs.google.com/spreadsheets/d/1-uDff_7J0KD5mKrp0Vvzr7lt3OU09vwQwhkpOPPYv2Y/edit?usp=sharing"",""งบพรบ!IO21"")"),131490)</f>
        <v>131490</v>
      </c>
      <c r="M418" s="224">
        <f ca="1">IFERROR(__xludf.DUMMYFUNCTION("IMPORTRANGE(""https://docs.google.com/spreadsheets/d/1-uDff_7J0KD5mKrp0Vvzr7lt3OU09vwQwhkpOPPYv2Y/edit?usp=sharing"",""งบพรบ!IT21"")"),131490)</f>
        <v>131490</v>
      </c>
      <c r="N418" s="224">
        <f ca="1">IFERROR(__xludf.DUMMYFUNCTION("IMPORTRANGE(""https://docs.google.com/spreadsheets/d/1-uDff_7J0KD5mKrp0Vvzr7lt3OU09vwQwhkpOPPYv2Y/edit?usp=sharing"",""งบพรบ!IV21"")"),106504.91)</f>
        <v>106504.91</v>
      </c>
      <c r="O418" s="224">
        <f ca="1">IF(L418&gt;0,N418*100/L418,0)</f>
        <v>80.998486576925998</v>
      </c>
      <c r="P418" s="224">
        <f ca="1">IF(M418&gt;0,N418*100/M418,0)</f>
        <v>80.998486576925998</v>
      </c>
      <c r="Q418" s="224">
        <f ca="1">IFERROR(__xludf.DUMMYFUNCTION("IMPORTRANGE(""https://docs.google.com/spreadsheets/d/1ItG2mGa2ceCfYo0BwxsXqNm01IGEUdYcSSLTEv9YCik/edit?usp=sharing"",""เบิกจ่ายกองทุน!BZ21"")"),26730)</f>
        <v>26730</v>
      </c>
      <c r="R418" s="224">
        <f ca="1">IFERROR(__xludf.DUMMYFUNCTION("IMPORTRANGE(""https://docs.google.com/spreadsheets/d/1ItG2mGa2ceCfYo0BwxsXqNm01IGEUdYcSSLTEv9YCik/edit?usp=sharing"",""เบิกจ่ายกองทุน!CA21"")"),26730)</f>
        <v>26730</v>
      </c>
      <c r="S418" s="224">
        <f ca="1">IFERROR(__xludf.DUMMYFUNCTION("IMPORTRANGE(""https://docs.google.com/spreadsheets/d/1ItG2mGa2ceCfYo0BwxsXqNm01IGEUdYcSSLTEv9YCik/edit?usp=sharing"",""เบิกจ่ายกองทุน!CB21"")"),24380)</f>
        <v>24380</v>
      </c>
      <c r="T418" s="224">
        <f ca="1">IF(Q418&gt;0,S418*100/Q418,0)</f>
        <v>91.208380097268986</v>
      </c>
      <c r="U418" s="224">
        <f ca="1">IF(R418&gt;0,S418*100/R418,0)</f>
        <v>91.208380097268986</v>
      </c>
    </row>
    <row r="419" spans="1:21" ht="18.75" x14ac:dyDescent="0.25">
      <c r="A419" s="128"/>
      <c r="B419" s="158"/>
      <c r="C419" s="158"/>
      <c r="D419" s="628" t="s">
        <v>23</v>
      </c>
      <c r="E419" s="158"/>
      <c r="F419" s="158"/>
      <c r="G419" s="180"/>
      <c r="H419" s="133" t="s">
        <v>14</v>
      </c>
      <c r="I419" s="44"/>
      <c r="J419" s="44"/>
      <c r="K419" s="45"/>
      <c r="L419" s="545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hidden="1" x14ac:dyDescent="0.25">
      <c r="A420" s="128"/>
      <c r="B420" s="158"/>
      <c r="C420" s="158"/>
      <c r="D420" s="158"/>
      <c r="E420" s="322" t="s">
        <v>20</v>
      </c>
      <c r="F420" s="158"/>
      <c r="G420" s="180"/>
      <c r="H420" s="176" t="s">
        <v>14</v>
      </c>
      <c r="I420" s="44"/>
      <c r="J420" s="44"/>
      <c r="K420" s="45"/>
      <c r="L420" s="546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hidden="1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545">
        <f ca="1">IFERROR(__xludf.DUMMYFUNCTION("IMPORTRANGE(""https://docs.google.com/spreadsheets/d/1-uDff_7J0KD5mKrp0Vvzr7lt3OU09vwQwhkpOPPYv2Y/edit?usp=sharing"",""งบพรบ!IR21"")"),0)</f>
        <v>0</v>
      </c>
      <c r="M421" s="224">
        <f ca="1">IFERROR(__xludf.DUMMYFUNCTION("IMPORTRANGE(""https://docs.google.com/spreadsheets/d/1-uDff_7J0KD5mKrp0Vvzr7lt3OU09vwQwhkpOPPYv2Y/edit?usp=sharing"",""งบพรบ!IU21"")"),0)</f>
        <v>0</v>
      </c>
      <c r="N421" s="224">
        <f ca="1">IFERROR(__xludf.DUMMYFUNCTION("IMPORTRANGE(""https://docs.google.com/spreadsheets/d/1-uDff_7J0KD5mKrp0Vvzr7lt3OU09vwQwhkpOPPYv2Y/edit?usp=sharing"",""งบพรบ!IW21"")"),0)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74" t="s">
        <v>18</v>
      </c>
      <c r="D422" s="654" t="s">
        <v>38</v>
      </c>
      <c r="E422" s="158"/>
      <c r="F422" s="158"/>
      <c r="G422" s="180"/>
      <c r="H422" s="180"/>
      <c r="I422" s="44"/>
      <c r="J422" s="44"/>
      <c r="K422" s="45"/>
      <c r="L422" s="543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hidden="1" x14ac:dyDescent="0.3">
      <c r="A423" s="577"/>
      <c r="B423" s="453" t="s">
        <v>164</v>
      </c>
      <c r="C423" s="452"/>
      <c r="D423" s="452"/>
      <c r="E423" s="452"/>
      <c r="F423" s="452"/>
      <c r="G423" s="463"/>
      <c r="H423" s="651" t="s">
        <v>46</v>
      </c>
      <c r="I423" s="579">
        <f ca="1">I440</f>
        <v>0</v>
      </c>
      <c r="J423" s="653">
        <f>J440</f>
        <v>0</v>
      </c>
      <c r="K423" s="578">
        <f ca="1">IF(I423&gt;0,J423*100/I423,0)</f>
        <v>0</v>
      </c>
      <c r="L423" s="576"/>
      <c r="M423" s="459"/>
      <c r="N423" s="459"/>
      <c r="O423" s="459"/>
      <c r="P423" s="459"/>
      <c r="Q423" s="459"/>
      <c r="R423" s="459"/>
      <c r="S423" s="459"/>
      <c r="T423" s="459"/>
      <c r="U423" s="459"/>
    </row>
    <row r="424" spans="1:21" ht="19.5" hidden="1" x14ac:dyDescent="0.3">
      <c r="A424" s="208"/>
      <c r="B424" s="158"/>
      <c r="C424" s="161" t="s">
        <v>165</v>
      </c>
      <c r="D424" s="158"/>
      <c r="E424" s="158"/>
      <c r="F424" s="158"/>
      <c r="G424" s="180"/>
      <c r="H424" s="131" t="s">
        <v>46</v>
      </c>
      <c r="I424" s="338">
        <f ca="1">IFERROR(__xludf.DUMMYFUNCTION("IMPORTRANGE(""https://docs.google.com/spreadsheets/d/1eHaY18a8A9IcSdp1K8H6x8fbOy06t2VsZHhMHf-1x7Y/edit?usp=sharing"",""แผน!HJ21"")"),0)</f>
        <v>0</v>
      </c>
      <c r="J424" s="650">
        <f>J426+J428+J430</f>
        <v>0</v>
      </c>
      <c r="K424" s="547">
        <f ca="1">IF(I424&gt;0,J424*100/I424,0)</f>
        <v>0</v>
      </c>
      <c r="L424" s="543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hidden="1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38">
        <f ca="1">IFERROR(__xludf.DUMMYFUNCTION("IMPORTRANGE(""https://docs.google.com/spreadsheets/d/1eHaY18a8A9IcSdp1K8H6x8fbOy06t2VsZHhMHf-1x7Y/edit?usp=sharing"",""แผน!HK21"")"),0)</f>
        <v>0</v>
      </c>
      <c r="J425" s="650">
        <f>J427+J429+J431</f>
        <v>0</v>
      </c>
      <c r="K425" s="547">
        <f ca="1">IF(I425&gt;0,J425*100/I425,0)</f>
        <v>0</v>
      </c>
      <c r="L425" s="543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hidden="1" x14ac:dyDescent="0.25">
      <c r="A426" s="208"/>
      <c r="B426" s="158"/>
      <c r="C426" s="158"/>
      <c r="D426" s="209" t="s">
        <v>166</v>
      </c>
      <c r="E426" s="158"/>
      <c r="F426" s="158"/>
      <c r="G426" s="180"/>
      <c r="H426" s="133" t="s">
        <v>46</v>
      </c>
      <c r="I426" s="44"/>
      <c r="J426" s="634">
        <v>0</v>
      </c>
      <c r="K426" s="45"/>
      <c r="L426" s="543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hidden="1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634">
        <v>0</v>
      </c>
      <c r="K427" s="45"/>
      <c r="L427" s="543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hidden="1" x14ac:dyDescent="0.25">
      <c r="A428" s="208"/>
      <c r="B428" s="158"/>
      <c r="C428" s="158"/>
      <c r="D428" s="209" t="s">
        <v>167</v>
      </c>
      <c r="E428" s="158"/>
      <c r="F428" s="158"/>
      <c r="G428" s="180"/>
      <c r="H428" s="133" t="s">
        <v>46</v>
      </c>
      <c r="I428" s="44"/>
      <c r="J428" s="634">
        <v>0</v>
      </c>
      <c r="K428" s="45"/>
      <c r="L428" s="543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hidden="1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634">
        <v>0</v>
      </c>
      <c r="K429" s="45"/>
      <c r="L429" s="543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hidden="1" x14ac:dyDescent="0.25">
      <c r="A430" s="208"/>
      <c r="B430" s="158"/>
      <c r="C430" s="158"/>
      <c r="D430" s="209" t="s">
        <v>168</v>
      </c>
      <c r="E430" s="158"/>
      <c r="F430" s="158"/>
      <c r="G430" s="180"/>
      <c r="H430" s="133" t="s">
        <v>46</v>
      </c>
      <c r="I430" s="44"/>
      <c r="J430" s="634">
        <v>0</v>
      </c>
      <c r="K430" s="45"/>
      <c r="L430" s="543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hidden="1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634">
        <v>0</v>
      </c>
      <c r="K431" s="45"/>
      <c r="L431" s="543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hidden="1" x14ac:dyDescent="0.3">
      <c r="A432" s="208"/>
      <c r="B432" s="158"/>
      <c r="C432" s="161" t="s">
        <v>169</v>
      </c>
      <c r="D432" s="158"/>
      <c r="E432" s="158"/>
      <c r="F432" s="158"/>
      <c r="G432" s="180"/>
      <c r="H432" s="131" t="s">
        <v>46</v>
      </c>
      <c r="I432" s="338">
        <f ca="1">IFERROR(__xludf.DUMMYFUNCTION("IMPORTRANGE(""https://docs.google.com/spreadsheets/d/1eHaY18a8A9IcSdp1K8H6x8fbOy06t2VsZHhMHf-1x7Y/edit?usp=sharing"",""แผน!HJ21"")"),0)</f>
        <v>0</v>
      </c>
      <c r="J432" s="650">
        <f>J434+J436+J438</f>
        <v>0</v>
      </c>
      <c r="K432" s="547">
        <f ca="1">IF(I432&gt;0,J432*100/I432,0)</f>
        <v>0</v>
      </c>
      <c r="L432" s="543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hidden="1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38">
        <f ca="1">IFERROR(__xludf.DUMMYFUNCTION("IMPORTRANGE(""https://docs.google.com/spreadsheets/d/1eHaY18a8A9IcSdp1K8H6x8fbOy06t2VsZHhMHf-1x7Y/edit?usp=sharing"",""แผน!HK21"")"),0)</f>
        <v>0</v>
      </c>
      <c r="J433" s="650">
        <f>J435+J437+J439</f>
        <v>0</v>
      </c>
      <c r="K433" s="547">
        <f ca="1">IF(I433&gt;0,J433*100/I433,0)</f>
        <v>0</v>
      </c>
      <c r="L433" s="543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hidden="1" x14ac:dyDescent="0.25">
      <c r="A434" s="208"/>
      <c r="B434" s="158"/>
      <c r="C434" s="158"/>
      <c r="D434" s="209" t="s">
        <v>170</v>
      </c>
      <c r="E434" s="158"/>
      <c r="F434" s="158"/>
      <c r="G434" s="180"/>
      <c r="H434" s="133" t="s">
        <v>46</v>
      </c>
      <c r="I434" s="44"/>
      <c r="J434" s="634">
        <v>0</v>
      </c>
      <c r="K434" s="45"/>
      <c r="L434" s="543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hidden="1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634">
        <v>0</v>
      </c>
      <c r="K435" s="45"/>
      <c r="L435" s="543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hidden="1" x14ac:dyDescent="0.25">
      <c r="A436" s="208"/>
      <c r="B436" s="158"/>
      <c r="C436" s="158"/>
      <c r="D436" s="209" t="s">
        <v>171</v>
      </c>
      <c r="E436" s="158"/>
      <c r="F436" s="158"/>
      <c r="G436" s="180"/>
      <c r="H436" s="133" t="s">
        <v>46</v>
      </c>
      <c r="I436" s="44"/>
      <c r="J436" s="634">
        <v>0</v>
      </c>
      <c r="K436" s="45"/>
      <c r="L436" s="543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hidden="1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634">
        <v>0</v>
      </c>
      <c r="K437" s="45"/>
      <c r="L437" s="543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hidden="1" x14ac:dyDescent="0.25">
      <c r="A438" s="208"/>
      <c r="B438" s="158"/>
      <c r="C438" s="158"/>
      <c r="D438" s="209" t="s">
        <v>172</v>
      </c>
      <c r="E438" s="158"/>
      <c r="F438" s="158"/>
      <c r="G438" s="180"/>
      <c r="H438" s="133" t="s">
        <v>46</v>
      </c>
      <c r="I438" s="44"/>
      <c r="J438" s="634">
        <v>0</v>
      </c>
      <c r="K438" s="45"/>
      <c r="L438" s="543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hidden="1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634">
        <v>0</v>
      </c>
      <c r="K439" s="45"/>
      <c r="L439" s="543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hidden="1" x14ac:dyDescent="0.3">
      <c r="A440" s="208"/>
      <c r="B440" s="158"/>
      <c r="C440" s="161" t="s">
        <v>173</v>
      </c>
      <c r="D440" s="158"/>
      <c r="E440" s="158"/>
      <c r="F440" s="158"/>
      <c r="G440" s="180"/>
      <c r="H440" s="131" t="s">
        <v>46</v>
      </c>
      <c r="I440" s="338">
        <f ca="1">IFERROR(__xludf.DUMMYFUNCTION("IMPORTRANGE(""https://docs.google.com/spreadsheets/d/1eHaY18a8A9IcSdp1K8H6x8fbOy06t2VsZHhMHf-1x7Y/edit?usp=sharing"",""แผน!HJ21"")"),0)</f>
        <v>0</v>
      </c>
      <c r="J440" s="650">
        <f>J442+J444+J446+J452+J454</f>
        <v>0</v>
      </c>
      <c r="K440" s="547">
        <f ca="1">IF(I440&gt;0,J440*100/I440,0)</f>
        <v>0</v>
      </c>
      <c r="L440" s="543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hidden="1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38">
        <f ca="1">IFERROR(__xludf.DUMMYFUNCTION("IMPORTRANGE(""https://docs.google.com/spreadsheets/d/1eHaY18a8A9IcSdp1K8H6x8fbOy06t2VsZHhMHf-1x7Y/edit?usp=sharing"",""แผน!HK21"")"),0)</f>
        <v>0</v>
      </c>
      <c r="J441" s="650">
        <f>J443+J445+J447+J453+J455</f>
        <v>0</v>
      </c>
      <c r="K441" s="547">
        <f ca="1">IF(I441&gt;0,J441*100/I441,0)</f>
        <v>0</v>
      </c>
      <c r="L441" s="543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hidden="1" x14ac:dyDescent="0.25">
      <c r="A442" s="208"/>
      <c r="B442" s="158"/>
      <c r="C442" s="158"/>
      <c r="D442" s="209" t="s">
        <v>174</v>
      </c>
      <c r="E442" s="158"/>
      <c r="F442" s="158"/>
      <c r="G442" s="180"/>
      <c r="H442" s="133" t="s">
        <v>46</v>
      </c>
      <c r="I442" s="44"/>
      <c r="J442" s="634">
        <v>0</v>
      </c>
      <c r="K442" s="45"/>
      <c r="L442" s="543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hidden="1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634">
        <v>0</v>
      </c>
      <c r="K443" s="45"/>
      <c r="L443" s="543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hidden="1" x14ac:dyDescent="0.25">
      <c r="A444" s="208"/>
      <c r="B444" s="158"/>
      <c r="C444" s="158"/>
      <c r="D444" s="209" t="s">
        <v>175</v>
      </c>
      <c r="E444" s="158"/>
      <c r="F444" s="158"/>
      <c r="G444" s="180"/>
      <c r="H444" s="133" t="s">
        <v>46</v>
      </c>
      <c r="I444" s="44"/>
      <c r="J444" s="634">
        <v>0</v>
      </c>
      <c r="K444" s="45"/>
      <c r="L444" s="543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hidden="1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634">
        <v>0</v>
      </c>
      <c r="K445" s="45"/>
      <c r="L445" s="543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hidden="1" x14ac:dyDescent="0.3">
      <c r="A446" s="208"/>
      <c r="B446" s="158"/>
      <c r="C446" s="158"/>
      <c r="D446" s="209" t="s">
        <v>176</v>
      </c>
      <c r="E446" s="158"/>
      <c r="F446" s="158"/>
      <c r="G446" s="180"/>
      <c r="H446" s="133" t="s">
        <v>46</v>
      </c>
      <c r="I446" s="44"/>
      <c r="J446" s="650">
        <f>J448+J450</f>
        <v>0</v>
      </c>
      <c r="K446" s="45"/>
      <c r="L446" s="543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hidden="1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650">
        <f>J449+J451</f>
        <v>0</v>
      </c>
      <c r="K447" s="45"/>
      <c r="L447" s="543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hidden="1" x14ac:dyDescent="0.25">
      <c r="A448" s="208"/>
      <c r="B448" s="158"/>
      <c r="C448" s="158"/>
      <c r="D448" s="158"/>
      <c r="E448" s="209" t="s">
        <v>177</v>
      </c>
      <c r="F448" s="158"/>
      <c r="G448" s="180"/>
      <c r="H448" s="133" t="s">
        <v>46</v>
      </c>
      <c r="I448" s="44"/>
      <c r="J448" s="634">
        <v>0</v>
      </c>
      <c r="K448" s="45"/>
      <c r="L448" s="543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hidden="1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634">
        <v>0</v>
      </c>
      <c r="K449" s="45"/>
      <c r="L449" s="543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hidden="1" x14ac:dyDescent="0.25">
      <c r="A450" s="208"/>
      <c r="B450" s="158"/>
      <c r="C450" s="158"/>
      <c r="D450" s="158"/>
      <c r="E450" s="209" t="s">
        <v>178</v>
      </c>
      <c r="F450" s="158"/>
      <c r="G450" s="180"/>
      <c r="H450" s="133" t="s">
        <v>46</v>
      </c>
      <c r="I450" s="44"/>
      <c r="J450" s="634">
        <v>0</v>
      </c>
      <c r="K450" s="45"/>
      <c r="L450" s="543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hidden="1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634">
        <v>0</v>
      </c>
      <c r="K451" s="45"/>
      <c r="L451" s="543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hidden="1" x14ac:dyDescent="0.25">
      <c r="A452" s="208"/>
      <c r="B452" s="158"/>
      <c r="C452" s="158"/>
      <c r="D452" s="209" t="s">
        <v>179</v>
      </c>
      <c r="E452" s="158"/>
      <c r="F452" s="158"/>
      <c r="G452" s="180"/>
      <c r="H452" s="133" t="s">
        <v>46</v>
      </c>
      <c r="I452" s="44"/>
      <c r="J452" s="634">
        <v>0</v>
      </c>
      <c r="K452" s="45"/>
      <c r="L452" s="543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hidden="1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634">
        <v>0</v>
      </c>
      <c r="K453" s="45"/>
      <c r="L453" s="543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hidden="1" x14ac:dyDescent="0.25">
      <c r="A454" s="208"/>
      <c r="B454" s="158"/>
      <c r="C454" s="158"/>
      <c r="D454" s="209" t="s">
        <v>180</v>
      </c>
      <c r="E454" s="158"/>
      <c r="F454" s="158"/>
      <c r="G454" s="180"/>
      <c r="H454" s="133" t="s">
        <v>46</v>
      </c>
      <c r="I454" s="44"/>
      <c r="J454" s="652">
        <v>0</v>
      </c>
      <c r="K454" s="45"/>
      <c r="L454" s="543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hidden="1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634">
        <v>0</v>
      </c>
      <c r="K455" s="45"/>
      <c r="L455" s="543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577"/>
      <c r="B456" s="453" t="s">
        <v>181</v>
      </c>
      <c r="C456" s="452"/>
      <c r="D456" s="452"/>
      <c r="E456" s="452"/>
      <c r="F456" s="452"/>
      <c r="G456" s="463"/>
      <c r="H456" s="651" t="s">
        <v>46</v>
      </c>
      <c r="I456" s="579">
        <f ca="1">I457</f>
        <v>3802.87</v>
      </c>
      <c r="J456" s="648">
        <f>J457</f>
        <v>2901</v>
      </c>
      <c r="K456" s="578">
        <f ca="1">IF(I456&gt;0,J456*100/I456,0)</f>
        <v>76.284490398041484</v>
      </c>
      <c r="L456" s="576"/>
      <c r="M456" s="459"/>
      <c r="N456" s="459"/>
      <c r="O456" s="459"/>
      <c r="P456" s="459"/>
      <c r="Q456" s="459"/>
      <c r="R456" s="459"/>
      <c r="S456" s="459"/>
      <c r="T456" s="459"/>
      <c r="U456" s="459"/>
    </row>
    <row r="457" spans="1:21" ht="19.5" x14ac:dyDescent="0.3">
      <c r="A457" s="208"/>
      <c r="B457" s="158"/>
      <c r="C457" s="161" t="s">
        <v>182</v>
      </c>
      <c r="D457" s="158"/>
      <c r="E457" s="158"/>
      <c r="F457" s="158"/>
      <c r="G457" s="180"/>
      <c r="H457" s="131" t="s">
        <v>46</v>
      </c>
      <c r="I457" s="338">
        <f ca="1">IFERROR(__xludf.DUMMYFUNCTION("IMPORTRANGE(""https://docs.google.com/spreadsheets/d/1eHaY18a8A9IcSdp1K8H6x8fbOy06t2VsZHhMHf-1x7Y/edit?usp=sharing"",""แผน!HL21"")"),3802.87)</f>
        <v>3802.87</v>
      </c>
      <c r="J457" s="650">
        <f>J459+J467+J473</f>
        <v>2901</v>
      </c>
      <c r="K457" s="547">
        <f ca="1">IF(I457&gt;0,J457*100/I457,0)</f>
        <v>76.284490398041484</v>
      </c>
      <c r="L457" s="543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38">
        <f ca="1">IFERROR(__xludf.DUMMYFUNCTION("IMPORTRANGE(""https://docs.google.com/spreadsheets/d/1eHaY18a8A9IcSdp1K8H6x8fbOy06t2VsZHhMHf-1x7Y/edit?usp=sharing"",""แผน!HM21"")"),239)</f>
        <v>239</v>
      </c>
      <c r="J458" s="650">
        <f>J460+J468+J474</f>
        <v>186</v>
      </c>
      <c r="K458" s="547">
        <f ca="1">IF(I458&gt;0,J458*100/I458,0)</f>
        <v>77.824267782426773</v>
      </c>
      <c r="L458" s="543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183</v>
      </c>
      <c r="D459" s="158"/>
      <c r="E459" s="158"/>
      <c r="F459" s="158"/>
      <c r="G459" s="180"/>
      <c r="H459" s="133" t="s">
        <v>46</v>
      </c>
      <c r="I459" s="44"/>
      <c r="J459" s="646">
        <f>J461+J463</f>
        <v>2659</v>
      </c>
      <c r="K459" s="45"/>
      <c r="L459" s="543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646">
        <f>J462+J464</f>
        <v>171</v>
      </c>
      <c r="K460" s="45"/>
      <c r="L460" s="543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36" t="s">
        <v>184</v>
      </c>
      <c r="E461" s="158"/>
      <c r="F461" s="158"/>
      <c r="G461" s="180"/>
      <c r="H461" s="133" t="s">
        <v>46</v>
      </c>
      <c r="I461" s="44"/>
      <c r="J461" s="634">
        <v>2659</v>
      </c>
      <c r="K461" s="45"/>
      <c r="L461" s="543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634">
        <v>171</v>
      </c>
      <c r="K462" s="45"/>
      <c r="L462" s="543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36" t="s">
        <v>185</v>
      </c>
      <c r="E463" s="158"/>
      <c r="F463" s="158"/>
      <c r="G463" s="180"/>
      <c r="H463" s="133" t="s">
        <v>46</v>
      </c>
      <c r="I463" s="44"/>
      <c r="J463" s="634">
        <v>0</v>
      </c>
      <c r="K463" s="45"/>
      <c r="L463" s="543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634">
        <v>0</v>
      </c>
      <c r="K464" s="45"/>
      <c r="L464" s="543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36" t="s">
        <v>186</v>
      </c>
      <c r="E465" s="158"/>
      <c r="F465" s="158"/>
      <c r="G465" s="180"/>
      <c r="H465" s="133" t="s">
        <v>46</v>
      </c>
      <c r="I465" s="44"/>
      <c r="J465" s="634">
        <v>0</v>
      </c>
      <c r="K465" s="45"/>
      <c r="L465" s="543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634">
        <v>0</v>
      </c>
      <c r="K466" s="45"/>
      <c r="L466" s="543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36" t="s">
        <v>187</v>
      </c>
      <c r="D467" s="158"/>
      <c r="E467" s="158"/>
      <c r="F467" s="158"/>
      <c r="G467" s="180"/>
      <c r="H467" s="133" t="s">
        <v>46</v>
      </c>
      <c r="I467" s="44"/>
      <c r="J467" s="646">
        <f>J469+J471</f>
        <v>221</v>
      </c>
      <c r="K467" s="45"/>
      <c r="L467" s="543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646">
        <f>J470+J472</f>
        <v>12</v>
      </c>
      <c r="K468" s="45"/>
      <c r="L468" s="543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36" t="s">
        <v>188</v>
      </c>
      <c r="E469" s="158"/>
      <c r="F469" s="158"/>
      <c r="G469" s="180"/>
      <c r="H469" s="133" t="s">
        <v>46</v>
      </c>
      <c r="I469" s="44"/>
      <c r="J469" s="634">
        <v>79</v>
      </c>
      <c r="K469" s="45"/>
      <c r="L469" s="543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634">
        <v>5</v>
      </c>
      <c r="K470" s="45"/>
      <c r="L470" s="543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36" t="s">
        <v>189</v>
      </c>
      <c r="E471" s="158"/>
      <c r="F471" s="158"/>
      <c r="G471" s="180"/>
      <c r="H471" s="133" t="s">
        <v>46</v>
      </c>
      <c r="I471" s="44"/>
      <c r="J471" s="634">
        <v>142</v>
      </c>
      <c r="K471" s="45"/>
      <c r="L471" s="543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634">
        <v>7</v>
      </c>
      <c r="K472" s="45"/>
      <c r="L472" s="543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190</v>
      </c>
      <c r="D473" s="158"/>
      <c r="E473" s="158"/>
      <c r="F473" s="158"/>
      <c r="G473" s="180"/>
      <c r="H473" s="133" t="s">
        <v>46</v>
      </c>
      <c r="I473" s="44"/>
      <c r="J473" s="634">
        <v>21</v>
      </c>
      <c r="K473" s="45"/>
      <c r="L473" s="543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634">
        <v>3</v>
      </c>
      <c r="K474" s="45"/>
      <c r="L474" s="543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hidden="1" x14ac:dyDescent="0.3">
      <c r="A475" s="577"/>
      <c r="B475" s="649" t="s">
        <v>191</v>
      </c>
      <c r="C475" s="452"/>
      <c r="D475" s="452"/>
      <c r="E475" s="452"/>
      <c r="F475" s="452"/>
      <c r="G475" s="463"/>
      <c r="H475" s="456" t="s">
        <v>46</v>
      </c>
      <c r="I475" s="579">
        <v>0</v>
      </c>
      <c r="J475" s="648">
        <f>J478+J480</f>
        <v>0</v>
      </c>
      <c r="K475" s="578">
        <f>IF(I475&gt;0,J475*100/I475,0)</f>
        <v>0</v>
      </c>
      <c r="L475" s="576"/>
      <c r="M475" s="459"/>
      <c r="N475" s="459"/>
      <c r="O475" s="459"/>
      <c r="P475" s="459"/>
      <c r="Q475" s="459"/>
      <c r="R475" s="459"/>
      <c r="S475" s="459"/>
      <c r="T475" s="459"/>
      <c r="U475" s="459"/>
    </row>
    <row r="476" spans="1:21" ht="19.5" hidden="1" x14ac:dyDescent="0.3">
      <c r="A476" s="644"/>
      <c r="B476" s="642"/>
      <c r="C476" s="645" t="s">
        <v>192</v>
      </c>
      <c r="D476" s="642"/>
      <c r="E476" s="642"/>
      <c r="F476" s="642"/>
      <c r="G476" s="641"/>
      <c r="H476" s="640" t="s">
        <v>46</v>
      </c>
      <c r="I476" s="647">
        <v>0</v>
      </c>
      <c r="J476" s="638">
        <f>J478+J480</f>
        <v>0</v>
      </c>
      <c r="K476" s="637">
        <f>IF(I476&gt;0,J476*100/I476,0)</f>
        <v>0</v>
      </c>
      <c r="L476" s="636"/>
      <c r="M476" s="635"/>
      <c r="N476" s="635"/>
      <c r="O476" s="635"/>
      <c r="P476" s="635"/>
      <c r="Q476" s="635"/>
      <c r="R476" s="635"/>
      <c r="S476" s="635"/>
      <c r="T476" s="635"/>
      <c r="U476" s="635"/>
    </row>
    <row r="477" spans="1:21" ht="19.5" hidden="1" x14ac:dyDescent="0.3">
      <c r="A477" s="644"/>
      <c r="B477" s="642"/>
      <c r="C477" s="643" t="s">
        <v>193</v>
      </c>
      <c r="D477" s="642"/>
      <c r="E477" s="642"/>
      <c r="F477" s="642"/>
      <c r="G477" s="641"/>
      <c r="H477" s="640" t="s">
        <v>34</v>
      </c>
      <c r="I477" s="647">
        <v>0</v>
      </c>
      <c r="J477" s="638">
        <f>J479+J481</f>
        <v>0</v>
      </c>
      <c r="K477" s="637">
        <f>IF(I477&gt;0,J477*100/I477,0)</f>
        <v>0</v>
      </c>
      <c r="L477" s="636"/>
      <c r="M477" s="635"/>
      <c r="N477" s="635"/>
      <c r="O477" s="635"/>
      <c r="P477" s="635"/>
      <c r="Q477" s="635"/>
      <c r="R477" s="635"/>
      <c r="S477" s="635"/>
      <c r="T477" s="635"/>
      <c r="U477" s="635"/>
    </row>
    <row r="478" spans="1:21" ht="18.75" hidden="1" x14ac:dyDescent="0.25">
      <c r="A478" s="208"/>
      <c r="B478" s="158"/>
      <c r="C478" s="158"/>
      <c r="D478" s="209" t="s">
        <v>194</v>
      </c>
      <c r="E478" s="158"/>
      <c r="F478" s="158"/>
      <c r="G478" s="180"/>
      <c r="H478" s="133" t="s">
        <v>46</v>
      </c>
      <c r="I478" s="44"/>
      <c r="J478" s="646">
        <v>0</v>
      </c>
      <c r="K478" s="45"/>
      <c r="L478" s="543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hidden="1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646">
        <v>0</v>
      </c>
      <c r="K479" s="45"/>
      <c r="L479" s="543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hidden="1" x14ac:dyDescent="0.25">
      <c r="A480" s="208"/>
      <c r="B480" s="158"/>
      <c r="C480" s="158"/>
      <c r="D480" s="336" t="s">
        <v>195</v>
      </c>
      <c r="E480" s="158"/>
      <c r="F480" s="158"/>
      <c r="G480" s="180"/>
      <c r="H480" s="133" t="s">
        <v>46</v>
      </c>
      <c r="I480" s="44"/>
      <c r="J480" s="646">
        <v>0</v>
      </c>
      <c r="K480" s="45"/>
      <c r="L480" s="543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hidden="1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646">
        <v>0</v>
      </c>
      <c r="K481" s="45"/>
      <c r="L481" s="543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hidden="1" x14ac:dyDescent="0.25">
      <c r="A482" s="208"/>
      <c r="B482" s="158"/>
      <c r="C482" s="158"/>
      <c r="D482" s="336" t="s">
        <v>196</v>
      </c>
      <c r="E482" s="158"/>
      <c r="F482" s="158"/>
      <c r="G482" s="180"/>
      <c r="H482" s="133" t="s">
        <v>46</v>
      </c>
      <c r="I482" s="44"/>
      <c r="J482" s="646">
        <f ca="1">IFERROR(__xludf.DUMMYFUNCTION("IMPORTRANGE(""https://docs.google.com/spreadsheets/d/1eHaY18a8A9IcSdp1K8H6x8fbOy06t2VsZHhMHf-1x7Y/edit?usp=sharing"",""แผน!HN53"")"),100)</f>
        <v>100</v>
      </c>
      <c r="K482" s="45"/>
      <c r="L482" s="543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hidden="1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646">
        <f ca="1">IFERROR(__xludf.DUMMYFUNCTION("IMPORTRANGE(""https://docs.google.com/spreadsheets/d/1eHaY18a8A9IcSdp1K8H6x8fbOy06t2VsZHhMHf-1x7Y/edit?usp=sharing"",""แผน!HO53"")"),2409)</f>
        <v>2409</v>
      </c>
      <c r="K483" s="45"/>
      <c r="L483" s="543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hidden="1" x14ac:dyDescent="0.3">
      <c r="A484" s="644"/>
      <c r="B484" s="642"/>
      <c r="C484" s="645" t="s">
        <v>197</v>
      </c>
      <c r="D484" s="642"/>
      <c r="E484" s="642"/>
      <c r="F484" s="642"/>
      <c r="G484" s="641"/>
      <c r="H484" s="640" t="s">
        <v>46</v>
      </c>
      <c r="I484" s="639">
        <f>J480</f>
        <v>0</v>
      </c>
      <c r="J484" s="638">
        <f>J486+J488+J490</f>
        <v>0</v>
      </c>
      <c r="K484" s="637">
        <f>IF(I484&gt;0,J484*100/I484,0)</f>
        <v>0</v>
      </c>
      <c r="L484" s="636"/>
      <c r="M484" s="635"/>
      <c r="N484" s="635"/>
      <c r="O484" s="635"/>
      <c r="P484" s="635"/>
      <c r="Q484" s="635"/>
      <c r="R484" s="635"/>
      <c r="S484" s="635"/>
      <c r="T484" s="635"/>
      <c r="U484" s="635"/>
    </row>
    <row r="485" spans="1:21" ht="19.5" hidden="1" x14ac:dyDescent="0.3">
      <c r="A485" s="644"/>
      <c r="B485" s="642"/>
      <c r="C485" s="643" t="s">
        <v>198</v>
      </c>
      <c r="D485" s="642"/>
      <c r="E485" s="642"/>
      <c r="F485" s="642"/>
      <c r="G485" s="641"/>
      <c r="H485" s="640" t="s">
        <v>34</v>
      </c>
      <c r="I485" s="639">
        <f>J481</f>
        <v>0</v>
      </c>
      <c r="J485" s="638">
        <f>J487+J489+J491</f>
        <v>0</v>
      </c>
      <c r="K485" s="637">
        <f>IF(I485&gt;0,J485*100/I485,0)</f>
        <v>0</v>
      </c>
      <c r="L485" s="636"/>
      <c r="M485" s="635"/>
      <c r="N485" s="635"/>
      <c r="O485" s="635"/>
      <c r="P485" s="635"/>
      <c r="Q485" s="635"/>
      <c r="R485" s="635"/>
      <c r="S485" s="635"/>
      <c r="T485" s="635"/>
      <c r="U485" s="635"/>
    </row>
    <row r="486" spans="1:21" ht="18.75" hidden="1" x14ac:dyDescent="0.25">
      <c r="A486" s="208"/>
      <c r="B486" s="158"/>
      <c r="C486" s="158"/>
      <c r="D486" s="336" t="s">
        <v>199</v>
      </c>
      <c r="E486" s="158"/>
      <c r="F486" s="158"/>
      <c r="G486" s="180"/>
      <c r="H486" s="133" t="s">
        <v>46</v>
      </c>
      <c r="I486" s="44"/>
      <c r="J486" s="634">
        <v>0</v>
      </c>
      <c r="K486" s="45"/>
      <c r="L486" s="543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hidden="1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634">
        <v>0</v>
      </c>
      <c r="K487" s="45"/>
      <c r="L487" s="543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hidden="1" x14ac:dyDescent="0.25">
      <c r="A488" s="208"/>
      <c r="B488" s="158"/>
      <c r="C488" s="158"/>
      <c r="D488" s="336" t="s">
        <v>200</v>
      </c>
      <c r="E488" s="158"/>
      <c r="F488" s="158"/>
      <c r="G488" s="180"/>
      <c r="H488" s="133" t="s">
        <v>46</v>
      </c>
      <c r="I488" s="44"/>
      <c r="J488" s="634">
        <v>0</v>
      </c>
      <c r="K488" s="45"/>
      <c r="L488" s="543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hidden="1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634">
        <v>0</v>
      </c>
      <c r="K489" s="45"/>
      <c r="L489" s="543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hidden="1" x14ac:dyDescent="0.25">
      <c r="A490" s="208"/>
      <c r="B490" s="158"/>
      <c r="C490" s="158"/>
      <c r="D490" s="336" t="s">
        <v>201</v>
      </c>
      <c r="E490" s="158"/>
      <c r="F490" s="158"/>
      <c r="G490" s="180"/>
      <c r="H490" s="133" t="s">
        <v>46</v>
      </c>
      <c r="I490" s="44"/>
      <c r="J490" s="634">
        <v>0</v>
      </c>
      <c r="K490" s="45"/>
      <c r="L490" s="543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hidden="1" x14ac:dyDescent="0.25">
      <c r="A491" s="339"/>
      <c r="B491" s="2"/>
      <c r="C491" s="2"/>
      <c r="D491" s="2"/>
      <c r="E491" s="2"/>
      <c r="F491" s="2"/>
      <c r="G491" s="340"/>
      <c r="H491" s="341" t="s">
        <v>34</v>
      </c>
      <c r="I491" s="54"/>
      <c r="J491" s="633">
        <v>0</v>
      </c>
      <c r="K491" s="3"/>
      <c r="L491" s="541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hidden="1" x14ac:dyDescent="0.3">
      <c r="A492" s="297"/>
      <c r="B492" s="318" t="s">
        <v>202</v>
      </c>
      <c r="C492" s="299"/>
      <c r="D492" s="299"/>
      <c r="E492" s="291"/>
      <c r="F492" s="291"/>
      <c r="G492" s="292"/>
      <c r="H492" s="329" t="s">
        <v>35</v>
      </c>
      <c r="I492" s="632">
        <f ca="1">I503</f>
        <v>0</v>
      </c>
      <c r="J492" s="632">
        <f ca="1">J503</f>
        <v>0</v>
      </c>
      <c r="K492" s="631">
        <f ca="1">IF(I492&gt;0,J492*100/I492,0)</f>
        <v>0</v>
      </c>
      <c r="L492" s="630"/>
      <c r="M492" s="296"/>
      <c r="N492" s="296"/>
      <c r="O492" s="296"/>
      <c r="P492" s="296"/>
      <c r="Q492" s="296"/>
      <c r="R492" s="296"/>
      <c r="S492" s="296"/>
      <c r="T492" s="296"/>
      <c r="U492" s="296"/>
    </row>
    <row r="493" spans="1:21" ht="19.5" hidden="1" x14ac:dyDescent="0.3">
      <c r="A493" s="128"/>
      <c r="B493" s="158"/>
      <c r="C493" s="177" t="s">
        <v>18</v>
      </c>
      <c r="D493" s="629" t="s">
        <v>19</v>
      </c>
      <c r="E493" s="514"/>
      <c r="F493" s="514"/>
      <c r="G493" s="42"/>
      <c r="H493" s="221" t="s">
        <v>14</v>
      </c>
      <c r="I493" s="44"/>
      <c r="J493" s="44"/>
      <c r="K493" s="45"/>
      <c r="L493" s="548">
        <f ca="1">L494+L495</f>
        <v>0</v>
      </c>
      <c r="M493" s="547">
        <f ca="1">M494+M495</f>
        <v>0</v>
      </c>
      <c r="N493" s="547">
        <f ca="1">N494+N495</f>
        <v>0</v>
      </c>
      <c r="O493" s="547">
        <f ca="1">IF(L493&gt;0,N493*100/L493,0)</f>
        <v>0</v>
      </c>
      <c r="P493" s="547">
        <f ca="1">IF(M493&gt;0,N493*100/M493,0)</f>
        <v>0</v>
      </c>
      <c r="Q493" s="547">
        <f ca="1">Q494+Q495</f>
        <v>0</v>
      </c>
      <c r="R493" s="547">
        <f ca="1">R494+R495</f>
        <v>0</v>
      </c>
      <c r="S493" s="547">
        <f ca="1">S494+S495</f>
        <v>0</v>
      </c>
      <c r="T493" s="547">
        <f ca="1">IF(Q493&gt;0,S493*100/Q493,0)</f>
        <v>0</v>
      </c>
      <c r="U493" s="547">
        <f ca="1">IF(R493&gt;0,S493*100/R493,0)</f>
        <v>0</v>
      </c>
    </row>
    <row r="494" spans="1:21" ht="18.75" hidden="1" x14ac:dyDescent="0.25">
      <c r="A494" s="128"/>
      <c r="B494" s="158"/>
      <c r="C494" s="158"/>
      <c r="D494" s="139"/>
      <c r="E494" s="156" t="s">
        <v>162</v>
      </c>
      <c r="F494" s="40"/>
      <c r="G494" s="42"/>
      <c r="H494" s="159" t="s">
        <v>14</v>
      </c>
      <c r="I494" s="44"/>
      <c r="J494" s="44"/>
      <c r="K494" s="45"/>
      <c r="L494" s="546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hidden="1" x14ac:dyDescent="0.25">
      <c r="A495" s="128"/>
      <c r="B495" s="158"/>
      <c r="C495" s="158"/>
      <c r="D495" s="139"/>
      <c r="E495" s="47" t="s">
        <v>163</v>
      </c>
      <c r="F495" s="40"/>
      <c r="G495" s="42"/>
      <c r="H495" s="134" t="s">
        <v>14</v>
      </c>
      <c r="I495" s="44"/>
      <c r="J495" s="44"/>
      <c r="K495" s="45"/>
      <c r="L495" s="545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hidden="1" x14ac:dyDescent="0.25">
      <c r="A496" s="128"/>
      <c r="B496" s="158"/>
      <c r="C496" s="158"/>
      <c r="D496" s="628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545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hidden="1" x14ac:dyDescent="0.25">
      <c r="A497" s="128"/>
      <c r="B497" s="158"/>
      <c r="C497" s="158"/>
      <c r="D497" s="139"/>
      <c r="E497" s="156" t="s">
        <v>162</v>
      </c>
      <c r="F497" s="40"/>
      <c r="G497" s="42"/>
      <c r="H497" s="159" t="s">
        <v>14</v>
      </c>
      <c r="I497" s="44"/>
      <c r="J497" s="44"/>
      <c r="K497" s="45"/>
      <c r="L497" s="546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hidden="1" x14ac:dyDescent="0.25">
      <c r="A498" s="128"/>
      <c r="B498" s="158"/>
      <c r="C498" s="158"/>
      <c r="D498" s="139"/>
      <c r="E498" s="47" t="s">
        <v>163</v>
      </c>
      <c r="F498" s="40"/>
      <c r="G498" s="42"/>
      <c r="H498" s="134" t="s">
        <v>14</v>
      </c>
      <c r="I498" s="44"/>
      <c r="J498" s="44"/>
      <c r="K498" s="45"/>
      <c r="L498" s="545">
        <f ca="1">IFERROR(__xludf.DUMMYFUNCTION("IMPORTRANGE(""https://docs.google.com/spreadsheets/d/1-uDff_7J0KD5mKrp0Vvzr7lt3OU09vwQwhkpOPPYv2Y/edit?usp=sharing"",""งบพรบ!HU21"")"),0)</f>
        <v>0</v>
      </c>
      <c r="M498" s="224">
        <f ca="1">IFERROR(__xludf.DUMMYFUNCTION("IMPORTRANGE(""https://docs.google.com/spreadsheets/d/1-uDff_7J0KD5mKrp0Vvzr7lt3OU09vwQwhkpOPPYv2Y/edit?usp=sharing"",""งบพรบ!HZ21"")"),0)</f>
        <v>0</v>
      </c>
      <c r="N498" s="224">
        <f ca="1">IFERROR(__xludf.DUMMYFUNCTION("IMPORTRANGE(""https://docs.google.com/spreadsheets/d/1-uDff_7J0KD5mKrp0Vvzr7lt3OU09vwQwhkpOPPYv2Y/edit?usp=sharing"",""งบพรบ!IB21"")"),0)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IFERROR(__xludf.DUMMYFUNCTION("IMPORTRANGE(""https://docs.google.com/spreadsheets/d/1ItG2mGa2ceCfYo0BwxsXqNm01IGEUdYcSSLTEv9YCik/edit?usp=sharing"",""เบิกจ่ายกองทุน!AD21"")"),0)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IFERROR(__xludf.DUMMYFUNCTION("IMPORTRANGE(""https://docs.google.com/spreadsheets/d/1ItG2mGa2ceCfYo0BwxsXqNm01IGEUdYcSSLTEv9YCik/edit?usp=sharing"",""เบิกจ่ายกองทุน!AE21"")"),0)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IFERROR(__xludf.DUMMYFUNCTION("IMPORTRANGE(""https://docs.google.com/spreadsheets/d/1ItG2mGa2ceCfYo0BwxsXqNm01IGEUdYcSSLTEv9YCik/edit?usp=sharing"",""เบิกจ่ายกองทุน!AF21"")"),0)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hidden="1" x14ac:dyDescent="0.25">
      <c r="A499" s="128"/>
      <c r="B499" s="158"/>
      <c r="C499" s="158"/>
      <c r="D499" s="628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545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hidden="1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546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hidden="1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545">
        <f ca="1">IFERROR(__xludf.DUMMYFUNCTION("IMPORTRANGE(""https://docs.google.com/spreadsheets/d/1-uDff_7J0KD5mKrp0Vvzr7lt3OU09vwQwhkpOPPYv2Y/edit?usp=sharing"",""งบพรบ!HX21"")"),0)</f>
        <v>0</v>
      </c>
      <c r="M501" s="224">
        <f ca="1">IFERROR(__xludf.DUMMYFUNCTION("IMPORTRANGE(""https://docs.google.com/spreadsheets/d/1-uDff_7J0KD5mKrp0Vvzr7lt3OU09vwQwhkpOPPYv2Y/edit?usp=sharing"",""งบพรบ!IA21"")"),0)</f>
        <v>0</v>
      </c>
      <c r="N501" s="224">
        <f ca="1">IFERROR(__xludf.DUMMYFUNCTION("IMPORTRANGE(""https://docs.google.com/spreadsheets/d/1-uDff_7J0KD5mKrp0Vvzr7lt3OU09vwQwhkpOPPYv2Y/edit?usp=sharing"",""งบพรบ!IC21"")"),0)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hidden="1" x14ac:dyDescent="0.3">
      <c r="A502" s="138"/>
      <c r="B502" s="139"/>
      <c r="C502" s="177" t="s">
        <v>18</v>
      </c>
      <c r="D502" s="562" t="s">
        <v>38</v>
      </c>
      <c r="E502" s="141"/>
      <c r="F502" s="141"/>
      <c r="G502" s="142"/>
      <c r="H502" s="178"/>
      <c r="I502" s="135"/>
      <c r="J502" s="135"/>
      <c r="K502" s="136"/>
      <c r="L502" s="563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08"/>
      <c r="B503" s="158"/>
      <c r="C503" s="158"/>
      <c r="D503" s="161" t="s">
        <v>203</v>
      </c>
      <c r="E503" s="40"/>
      <c r="F503" s="40"/>
      <c r="G503" s="42"/>
      <c r="H503" s="133" t="s">
        <v>35</v>
      </c>
      <c r="I503" s="338">
        <f ca="1">IFERROR(__xludf.DUMMYFUNCTION("IMPORTRANGE(""https://docs.google.com/spreadsheets/d/1eHaY18a8A9IcSdp1K8H6x8fbOy06t2VsZHhMHf-1x7Y/edit?usp=sharing"",""แผน!GX21"")"),0)</f>
        <v>0</v>
      </c>
      <c r="J503" s="338">
        <f ca="1">IF(AND(J504=I504,J505=I505,J506=I506,J507=I507),I503,0)</f>
        <v>0</v>
      </c>
      <c r="K503" s="547">
        <f ca="1">IF(I503&gt;0,J503*100/I503,0)</f>
        <v>0</v>
      </c>
      <c r="L503" s="543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hidden="1" x14ac:dyDescent="0.25">
      <c r="A504" s="208"/>
      <c r="B504" s="158"/>
      <c r="C504" s="158"/>
      <c r="D504" s="158"/>
      <c r="E504" s="47" t="s">
        <v>204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IFERROR(__xludf.DUMMYFUNCTION("IMPORTRANGE(""https://docs.google.com/spreadsheets/d/1eHaY18a8A9IcSdp1K8H6x8fbOy06t2VsZHhMHf-1x7Y/edit?usp=sharing"",""แผน!GY21"")"),0)</f>
        <v>0</v>
      </c>
      <c r="J504" s="380">
        <v>0</v>
      </c>
      <c r="K504" s="224">
        <f ca="1">IF(I504&gt;0,J504*100/I504,0)</f>
        <v>0</v>
      </c>
      <c r="L504" s="543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hidden="1" x14ac:dyDescent="0.25">
      <c r="A505" s="208"/>
      <c r="B505" s="158"/>
      <c r="C505" s="158"/>
      <c r="D505" s="158"/>
      <c r="E505" s="47" t="s">
        <v>205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IFERROR(__xludf.DUMMYFUNCTION("IMPORTRANGE(""https://docs.google.com/spreadsheets/d/1eHaY18a8A9IcSdp1K8H6x8fbOy06t2VsZHhMHf-1x7Y/edit?usp=sharing"",""แผน!GZ21"")"),0)</f>
        <v>0</v>
      </c>
      <c r="J505" s="380">
        <v>0</v>
      </c>
      <c r="K505" s="224">
        <f ca="1">IF(I505&gt;0,J505*100/I505,0)</f>
        <v>0</v>
      </c>
      <c r="L505" s="543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hidden="1" x14ac:dyDescent="0.25">
      <c r="A506" s="208"/>
      <c r="B506" s="158"/>
      <c r="C506" s="158"/>
      <c r="D506" s="158"/>
      <c r="E506" s="47" t="s">
        <v>206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IFERROR(__xludf.DUMMYFUNCTION("IMPORTRANGE(""https://docs.google.com/spreadsheets/d/1eHaY18a8A9IcSdp1K8H6x8fbOy06t2VsZHhMHf-1x7Y/edit?usp=sharing"",""แผน!HA21"")"),0)</f>
        <v>0</v>
      </c>
      <c r="J506" s="380">
        <v>0</v>
      </c>
      <c r="K506" s="224">
        <f ca="1">IF(I506&gt;0,J506*100/I506,0)</f>
        <v>0</v>
      </c>
      <c r="L506" s="543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hidden="1" x14ac:dyDescent="0.25">
      <c r="A507" s="208"/>
      <c r="B507" s="158"/>
      <c r="C507" s="158"/>
      <c r="D507" s="158"/>
      <c r="E507" s="342" t="s">
        <v>207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IFERROR(__xludf.DUMMYFUNCTION("IMPORTRANGE(""https://docs.google.com/spreadsheets/d/1eHaY18a8A9IcSdp1K8H6x8fbOy06t2VsZHhMHf-1x7Y/edit?usp=sharing"",""แผน!HB21"")"),0)</f>
        <v>0</v>
      </c>
      <c r="J507" s="380">
        <v>0</v>
      </c>
      <c r="K507" s="224">
        <f ca="1">IF(I507&gt;0,J507*100/I507,0)</f>
        <v>0</v>
      </c>
      <c r="L507" s="543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hidden="1" x14ac:dyDescent="0.25">
      <c r="A508" s="208"/>
      <c r="B508" s="158"/>
      <c r="C508" s="158"/>
      <c r="D508" s="158"/>
      <c r="E508" s="47" t="s">
        <v>208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543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hidden="1" x14ac:dyDescent="0.3">
      <c r="A509" s="339"/>
      <c r="B509" s="2"/>
      <c r="C509" s="2"/>
      <c r="D509" s="343" t="s">
        <v>50</v>
      </c>
      <c r="E509" s="1"/>
      <c r="F509" s="1"/>
      <c r="G509" s="52"/>
      <c r="H509" s="341" t="s">
        <v>35</v>
      </c>
      <c r="I509" s="188">
        <f ca="1">IFERROR(__xludf.DUMMYFUNCTION("IMPORTRANGE(""https://docs.google.com/spreadsheets/d/1eHaY18a8A9IcSdp1K8H6x8fbOy06t2VsZHhMHf-1x7Y/edit?usp=sharing"",""แผน!HC21"")"),0)</f>
        <v>0</v>
      </c>
      <c r="J509" s="542">
        <v>0</v>
      </c>
      <c r="K509" s="508">
        <f ca="1">IF(I509&gt;0,J509*100/I509,0)</f>
        <v>0</v>
      </c>
      <c r="L509" s="541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hidden="1" x14ac:dyDescent="0.3">
      <c r="A510" s="627" t="s">
        <v>209</v>
      </c>
      <c r="B510" s="346"/>
      <c r="C510" s="346"/>
      <c r="D510" s="346"/>
      <c r="E510" s="347"/>
      <c r="F510" s="347"/>
      <c r="G510" s="347"/>
      <c r="H510" s="347"/>
      <c r="I510" s="348"/>
      <c r="J510" s="348"/>
      <c r="K510" s="349"/>
      <c r="L510" s="626"/>
      <c r="M510" s="351"/>
      <c r="N510" s="351"/>
      <c r="O510" s="351"/>
      <c r="P510" s="351"/>
      <c r="Q510" s="351"/>
      <c r="R510" s="351"/>
      <c r="S510" s="351"/>
      <c r="T510" s="351"/>
      <c r="U510" s="351"/>
    </row>
    <row r="511" spans="1:21" ht="19.5" hidden="1" x14ac:dyDescent="0.3">
      <c r="A511" s="625" t="s">
        <v>210</v>
      </c>
      <c r="B511" s="353"/>
      <c r="C511" s="353"/>
      <c r="D511" s="354"/>
      <c r="E511" s="353"/>
      <c r="F511" s="353"/>
      <c r="G511" s="353"/>
      <c r="H511" s="355"/>
      <c r="I511" s="356"/>
      <c r="J511" s="356"/>
      <c r="K511" s="357"/>
      <c r="L511" s="624"/>
      <c r="M511" s="358"/>
      <c r="N511" s="358"/>
      <c r="O511" s="358"/>
      <c r="P511" s="358"/>
      <c r="Q511" s="358"/>
      <c r="R511" s="358"/>
      <c r="S511" s="358"/>
      <c r="T511" s="358"/>
      <c r="U511" s="358"/>
    </row>
    <row r="512" spans="1:21" ht="19.5" hidden="1" x14ac:dyDescent="0.3">
      <c r="A512" s="359"/>
      <c r="B512" s="623" t="s">
        <v>211</v>
      </c>
      <c r="C512" s="361"/>
      <c r="D512" s="362"/>
      <c r="E512" s="362"/>
      <c r="F512" s="362"/>
      <c r="G512" s="363"/>
      <c r="H512" s="622" t="s">
        <v>61</v>
      </c>
      <c r="I512" s="621">
        <f>I524</f>
        <v>0</v>
      </c>
      <c r="J512" s="621">
        <f>J524</f>
        <v>0</v>
      </c>
      <c r="K512" s="620">
        <f>IF(I512&gt;0,J512*100/I512,0)</f>
        <v>0</v>
      </c>
      <c r="L512" s="601"/>
      <c r="M512" s="367"/>
      <c r="N512" s="367"/>
      <c r="O512" s="367"/>
      <c r="P512" s="367"/>
      <c r="Q512" s="367"/>
      <c r="R512" s="367"/>
      <c r="S512" s="367"/>
      <c r="T512" s="367"/>
      <c r="U512" s="367"/>
    </row>
    <row r="513" spans="1:21" ht="19.5" hidden="1" x14ac:dyDescent="0.3">
      <c r="A513" s="128"/>
      <c r="B513" s="40"/>
      <c r="C513" s="617" t="s">
        <v>18</v>
      </c>
      <c r="D513" s="565" t="s">
        <v>19</v>
      </c>
      <c r="E513" s="40"/>
      <c r="F513" s="40"/>
      <c r="G513" s="42"/>
      <c r="H513" s="619" t="s">
        <v>14</v>
      </c>
      <c r="I513" s="44"/>
      <c r="J513" s="44"/>
      <c r="K513" s="45"/>
      <c r="L513" s="548">
        <f ca="1">L514+L515</f>
        <v>0</v>
      </c>
      <c r="M513" s="547">
        <f ca="1">M514+M515</f>
        <v>0</v>
      </c>
      <c r="N513" s="547">
        <f ca="1">N514+N515</f>
        <v>0</v>
      </c>
      <c r="O513" s="547">
        <f ca="1">IF(L513&gt;0,N513*100/L513,0)</f>
        <v>0</v>
      </c>
      <c r="P513" s="547">
        <f ca="1">IF(M513&gt;0,N513*100/M513,0)</f>
        <v>0</v>
      </c>
      <c r="Q513" s="547">
        <f>Q514+Q515</f>
        <v>0</v>
      </c>
      <c r="R513" s="547">
        <f>R514+R515</f>
        <v>0</v>
      </c>
      <c r="S513" s="547">
        <f>S514+S515</f>
        <v>0</v>
      </c>
      <c r="T513" s="547">
        <f>IF(Q513&gt;0,S513*100/Q513,0)</f>
        <v>0</v>
      </c>
      <c r="U513" s="547">
        <f>IF(R513&gt;0,S513*100/R513,0)</f>
        <v>0</v>
      </c>
    </row>
    <row r="514" spans="1:21" ht="18.75" hidden="1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546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hidden="1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545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hidden="1" x14ac:dyDescent="0.25">
      <c r="A516" s="128"/>
      <c r="B516" s="40"/>
      <c r="C516" s="40"/>
      <c r="D516" s="618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545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hidden="1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546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hidden="1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545">
        <f ca="1">IFERROR(__xludf.DUMMYFUNCTION("IMPORTRANGE(""https://docs.google.com/spreadsheets/d/1-uDff_7J0KD5mKrp0Vvzr7lt3OU09vwQwhkpOPPYv2Y/edit?usp=sharing"",""งบพรบ!FM21"")"),0)</f>
        <v>0</v>
      </c>
      <c r="M518" s="224">
        <f ca="1">IFERROR(__xludf.DUMMYFUNCTION("IMPORTRANGE(""https://docs.google.com/spreadsheets/d/1-uDff_7J0KD5mKrp0Vvzr7lt3OU09vwQwhkpOPPYv2Y/edit?usp=sharing"",""งบพรบ!FR21"")"),0)</f>
        <v>0</v>
      </c>
      <c r="N518" s="224">
        <f ca="1">IFERROR(__xludf.DUMMYFUNCTION("IMPORTRANGE(""https://docs.google.com/spreadsheets/d/1-uDff_7J0KD5mKrp0Vvzr7lt3OU09vwQwhkpOPPYv2Y/edit?usp=sharing"",""งบพรบ!FT21"")"),0)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hidden="1" x14ac:dyDescent="0.25">
      <c r="A519" s="128"/>
      <c r="B519" s="40"/>
      <c r="C519" s="40"/>
      <c r="D519" s="618" t="s">
        <v>23</v>
      </c>
      <c r="E519" s="40"/>
      <c r="F519" s="40"/>
      <c r="G519" s="42"/>
      <c r="H519" s="483" t="s">
        <v>14</v>
      </c>
      <c r="I519" s="135"/>
      <c r="J519" s="135"/>
      <c r="K519" s="136"/>
      <c r="L519" s="545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hidden="1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546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hidden="1" x14ac:dyDescent="0.25">
      <c r="A521" s="128"/>
      <c r="B521" s="40"/>
      <c r="C521" s="40"/>
      <c r="D521" s="40"/>
      <c r="E521" s="156" t="s">
        <v>21</v>
      </c>
      <c r="F521" s="40"/>
      <c r="G521" s="42"/>
      <c r="H521" s="483" t="s">
        <v>14</v>
      </c>
      <c r="I521" s="135"/>
      <c r="J521" s="135"/>
      <c r="K521" s="136"/>
      <c r="L521" s="545">
        <f ca="1">IFERROR(__xludf.DUMMYFUNCTION("IMPORTRANGE(""https://docs.google.com/spreadsheets/d/1-uDff_7J0KD5mKrp0Vvzr7lt3OU09vwQwhkpOPPYv2Y/edit?usp=sharing"",""งบพรบ!FP21"")"),0)</f>
        <v>0</v>
      </c>
      <c r="M521" s="224">
        <f ca="1">IFERROR(__xludf.DUMMYFUNCTION("IMPORTRANGE(""https://docs.google.com/spreadsheets/d/1-uDff_7J0KD5mKrp0Vvzr7lt3OU09vwQwhkpOPPYv2Y/edit?usp=sharing"",""งบพรบ!FS21"")"),0)</f>
        <v>0</v>
      </c>
      <c r="N521" s="224">
        <f ca="1">IFERROR(__xludf.DUMMYFUNCTION("IMPORTRANGE(""https://docs.google.com/spreadsheets/d/1-uDff_7J0KD5mKrp0Vvzr7lt3OU09vwQwhkpOPPYv2Y/edit?usp=sharing"",""งบพรบ!FU21"")"),0)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hidden="1" x14ac:dyDescent="0.3">
      <c r="A522" s="138"/>
      <c r="B522" s="139"/>
      <c r="C522" s="617" t="s">
        <v>18</v>
      </c>
      <c r="D522" s="591" t="s">
        <v>38</v>
      </c>
      <c r="E522" s="141"/>
      <c r="F522" s="141"/>
      <c r="G522" s="142"/>
      <c r="H522" s="143"/>
      <c r="I522" s="135"/>
      <c r="J522" s="44"/>
      <c r="K522" s="45"/>
      <c r="L522" s="543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hidden="1" x14ac:dyDescent="0.25">
      <c r="A523" s="208"/>
      <c r="B523" s="40"/>
      <c r="C523" s="158"/>
      <c r="D523" s="179" t="s">
        <v>212</v>
      </c>
      <c r="E523" s="139"/>
      <c r="F523" s="40"/>
      <c r="G523" s="42"/>
      <c r="H523" s="616" t="s">
        <v>11</v>
      </c>
      <c r="I523" s="485">
        <v>0</v>
      </c>
      <c r="J523" s="615">
        <v>0</v>
      </c>
      <c r="K523" s="83">
        <f>IF(I523&gt;0,J523*100/I523,0)</f>
        <v>0</v>
      </c>
      <c r="L523" s="543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hidden="1" x14ac:dyDescent="0.25">
      <c r="A524" s="339"/>
      <c r="B524" s="1"/>
      <c r="C524" s="2"/>
      <c r="D524" s="614" t="s">
        <v>213</v>
      </c>
      <c r="E524" s="250"/>
      <c r="F524" s="1"/>
      <c r="G524" s="52"/>
      <c r="H524" s="613" t="s">
        <v>61</v>
      </c>
      <c r="I524" s="488">
        <v>0</v>
      </c>
      <c r="J524" s="612">
        <v>0</v>
      </c>
      <c r="K524" s="611">
        <f>IF(I524&gt;0,J524*100/I524,0)</f>
        <v>0</v>
      </c>
      <c r="L524" s="543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hidden="1" x14ac:dyDescent="0.2">
      <c r="A525" s="610"/>
      <c r="B525" s="609"/>
      <c r="C525" s="609"/>
      <c r="D525" s="608"/>
      <c r="E525" s="608"/>
      <c r="F525" s="608"/>
      <c r="G525" s="607"/>
      <c r="H525" s="606"/>
      <c r="I525" s="605"/>
      <c r="J525" s="605"/>
      <c r="K525" s="604"/>
      <c r="L525" s="599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599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599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599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599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599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599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70"/>
      <c r="B532" s="324"/>
      <c r="C532" s="324"/>
      <c r="D532" s="371"/>
      <c r="E532" s="371"/>
      <c r="F532" s="371"/>
      <c r="G532" s="372"/>
      <c r="H532" s="325"/>
      <c r="I532" s="326"/>
      <c r="J532" s="326"/>
      <c r="K532" s="327"/>
      <c r="L532" s="568"/>
      <c r="M532" s="327"/>
      <c r="N532" s="327"/>
      <c r="O532" s="327"/>
      <c r="P532" s="327"/>
      <c r="Q532" s="327"/>
      <c r="R532" s="327"/>
      <c r="S532" s="327"/>
      <c r="T532" s="327"/>
      <c r="U532" s="327"/>
    </row>
    <row r="533" spans="1:21" ht="19.5" hidden="1" x14ac:dyDescent="0.3">
      <c r="A533" s="359"/>
      <c r="B533" s="360" t="s">
        <v>214</v>
      </c>
      <c r="C533" s="361"/>
      <c r="D533" s="362"/>
      <c r="E533" s="362"/>
      <c r="F533" s="362"/>
      <c r="G533" s="363"/>
      <c r="H533" s="373" t="s">
        <v>61</v>
      </c>
      <c r="I533" s="603">
        <f>I545</f>
        <v>0</v>
      </c>
      <c r="J533" s="603">
        <f>J545</f>
        <v>0</v>
      </c>
      <c r="K533" s="602">
        <f>IF(I533&gt;0,J533*100/I533,0)</f>
        <v>0</v>
      </c>
      <c r="L533" s="601"/>
      <c r="M533" s="367"/>
      <c r="N533" s="367"/>
      <c r="O533" s="367"/>
      <c r="P533" s="367"/>
      <c r="Q533" s="367"/>
      <c r="R533" s="367"/>
      <c r="S533" s="367"/>
      <c r="T533" s="367"/>
      <c r="U533" s="367"/>
    </row>
    <row r="534" spans="1:21" ht="19.5" hidden="1" x14ac:dyDescent="0.3">
      <c r="A534" s="128"/>
      <c r="B534" s="40"/>
      <c r="C534" s="129" t="s">
        <v>18</v>
      </c>
      <c r="D534" s="60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548">
        <f ca="1">L535+L536</f>
        <v>0</v>
      </c>
      <c r="M534" s="547">
        <f ca="1">M535+M536</f>
        <v>0</v>
      </c>
      <c r="N534" s="547">
        <f ca="1">N535+N536</f>
        <v>0</v>
      </c>
      <c r="O534" s="547">
        <f ca="1">IF(L534&gt;0,N534*100/L534,0)</f>
        <v>0</v>
      </c>
      <c r="P534" s="547">
        <f ca="1">IF(M534&gt;0,N534*100/M534,0)</f>
        <v>0</v>
      </c>
      <c r="Q534" s="547">
        <f>Q535+Q536</f>
        <v>0</v>
      </c>
      <c r="R534" s="547">
        <f>R535+R536</f>
        <v>0</v>
      </c>
      <c r="S534" s="547">
        <f>S535+S536</f>
        <v>0</v>
      </c>
      <c r="T534" s="547">
        <f>IF(Q534&gt;0,S534*100/Q534,0)</f>
        <v>0</v>
      </c>
      <c r="U534" s="547">
        <f>IF(R534&gt;0,S534*100/R534,0)</f>
        <v>0</v>
      </c>
    </row>
    <row r="535" spans="1:21" ht="18.75" hidden="1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546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hidden="1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545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hidden="1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545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hidden="1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546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hidden="1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545">
        <f ca="1">IFERROR(__xludf.DUMMYFUNCTION("IMPORTRANGE(""https://docs.google.com/spreadsheets/d/1-uDff_7J0KD5mKrp0Vvzr7lt3OU09vwQwhkpOPPYv2Y/edit?usp=sharing"",""งบพรบ!FW21"")"),0)</f>
        <v>0</v>
      </c>
      <c r="M539" s="224">
        <f ca="1">IFERROR(__xludf.DUMMYFUNCTION("IMPORTRANGE(""https://docs.google.com/spreadsheets/d/1-uDff_7J0KD5mKrp0Vvzr7lt3OU09vwQwhkpOPPYv2Y/edit?usp=sharing"",""งบพรบ!GB21"")"),0)</f>
        <v>0</v>
      </c>
      <c r="N539" s="224">
        <f ca="1">IFERROR(__xludf.DUMMYFUNCTION("IMPORTRANGE(""https://docs.google.com/spreadsheets/d/1-uDff_7J0KD5mKrp0Vvzr7lt3OU09vwQwhkpOPPYv2Y/edit?usp=sharing"",""งบพรบ!GD21"")"),0)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hidden="1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545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hidden="1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546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hidden="1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545">
        <f ca="1">IFERROR(__xludf.DUMMYFUNCTION("IMPORTRANGE(""https://docs.google.com/spreadsheets/d/1-uDff_7J0KD5mKrp0Vvzr7lt3OU09vwQwhkpOPPYv2Y/edit?usp=sharing"",""งบพรบ!FZ21"")"),0)</f>
        <v>0</v>
      </c>
      <c r="M542" s="224">
        <f ca="1">IFERROR(__xludf.DUMMYFUNCTION("IMPORTRANGE(""https://docs.google.com/spreadsheets/d/1-uDff_7J0KD5mKrp0Vvzr7lt3OU09vwQwhkpOPPYv2Y/edit?usp=sharing"",""งบพรบ!GC21"")"),0)</f>
        <v>0</v>
      </c>
      <c r="N542" s="224">
        <f ca="1">IFERROR(__xludf.DUMMYFUNCTION("IMPORTRANGE(""https://docs.google.com/spreadsheets/d/1-uDff_7J0KD5mKrp0Vvzr7lt3OU09vwQwhkpOPPYv2Y/edit?usp=sharing"",""งบพรบ!GE21"")"),0)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hidden="1" x14ac:dyDescent="0.3">
      <c r="A543" s="138"/>
      <c r="B543" s="139"/>
      <c r="C543" s="374" t="s">
        <v>18</v>
      </c>
      <c r="D543" s="570" t="s">
        <v>38</v>
      </c>
      <c r="E543" s="141"/>
      <c r="F543" s="141"/>
      <c r="G543" s="142"/>
      <c r="H543" s="143"/>
      <c r="I543" s="135"/>
      <c r="J543" s="44"/>
      <c r="K543" s="45"/>
      <c r="L543" s="543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hidden="1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599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599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599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599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599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599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599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599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599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70"/>
      <c r="B553" s="324"/>
      <c r="C553" s="324"/>
      <c r="D553" s="371"/>
      <c r="E553" s="371"/>
      <c r="F553" s="371"/>
      <c r="G553" s="372"/>
      <c r="H553" s="325"/>
      <c r="I553" s="326"/>
      <c r="J553" s="326"/>
      <c r="K553" s="327"/>
      <c r="L553" s="568"/>
      <c r="M553" s="327"/>
      <c r="N553" s="327"/>
      <c r="O553" s="327"/>
      <c r="P553" s="327"/>
      <c r="Q553" s="327"/>
      <c r="R553" s="327"/>
      <c r="S553" s="327"/>
      <c r="T553" s="327"/>
      <c r="U553" s="327"/>
    </row>
    <row r="554" spans="1:21" ht="19.5" hidden="1" x14ac:dyDescent="0.3">
      <c r="A554" s="359"/>
      <c r="B554" s="360" t="s">
        <v>215</v>
      </c>
      <c r="C554" s="361"/>
      <c r="D554" s="362"/>
      <c r="E554" s="362"/>
      <c r="F554" s="362"/>
      <c r="G554" s="363"/>
      <c r="H554" s="373" t="s">
        <v>61</v>
      </c>
      <c r="I554" s="603">
        <f>I566</f>
        <v>0</v>
      </c>
      <c r="J554" s="603">
        <f>J566</f>
        <v>0</v>
      </c>
      <c r="K554" s="602">
        <f>IF(I554&gt;0,J554*100/I554,0)</f>
        <v>0</v>
      </c>
      <c r="L554" s="601"/>
      <c r="M554" s="367"/>
      <c r="N554" s="367"/>
      <c r="O554" s="367"/>
      <c r="P554" s="367"/>
      <c r="Q554" s="367"/>
      <c r="R554" s="367"/>
      <c r="S554" s="367"/>
      <c r="T554" s="367"/>
      <c r="U554" s="367"/>
    </row>
    <row r="555" spans="1:21" ht="19.5" hidden="1" x14ac:dyDescent="0.3">
      <c r="A555" s="128"/>
      <c r="B555" s="40"/>
      <c r="C555" s="129" t="s">
        <v>18</v>
      </c>
      <c r="D555" s="60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548">
        <f ca="1">L556+L557</f>
        <v>0</v>
      </c>
      <c r="M555" s="547">
        <f ca="1">M556+M557</f>
        <v>0</v>
      </c>
      <c r="N555" s="547">
        <f ca="1">N556+N557</f>
        <v>0</v>
      </c>
      <c r="O555" s="547">
        <f ca="1">IF(L555&gt;0,N555*100/L555,0)</f>
        <v>0</v>
      </c>
      <c r="P555" s="547">
        <f ca="1">IF(M555&gt;0,N555*100/M555,0)</f>
        <v>0</v>
      </c>
      <c r="Q555" s="547">
        <f>Q556+Q557</f>
        <v>0</v>
      </c>
      <c r="R555" s="547">
        <f>R556+R557</f>
        <v>0</v>
      </c>
      <c r="S555" s="547">
        <f>S556+S557</f>
        <v>0</v>
      </c>
      <c r="T555" s="547">
        <f>IF(Q555&gt;0,S555*100/Q555,0)</f>
        <v>0</v>
      </c>
      <c r="U555" s="547">
        <f>IF(R555&gt;0,S555*100/R555,0)</f>
        <v>0</v>
      </c>
    </row>
    <row r="556" spans="1:21" ht="18.75" hidden="1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546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hidden="1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545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hidden="1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545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hidden="1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546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hidden="1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545">
        <f ca="1">IFERROR(__xludf.DUMMYFUNCTION("IMPORTRANGE(""https://docs.google.com/spreadsheets/d/1-uDff_7J0KD5mKrp0Vvzr7lt3OU09vwQwhkpOPPYv2Y/edit?usp=sharing"",""งบพรบ!GG21"")"),0)</f>
        <v>0</v>
      </c>
      <c r="M560" s="224">
        <f ca="1">IFERROR(__xludf.DUMMYFUNCTION("IMPORTRANGE(""https://docs.google.com/spreadsheets/d/1-uDff_7J0KD5mKrp0Vvzr7lt3OU09vwQwhkpOPPYv2Y/edit?usp=sharing"",""งบพรบ!GL21"")"),0)</f>
        <v>0</v>
      </c>
      <c r="N560" s="224">
        <f ca="1">IFERROR(__xludf.DUMMYFUNCTION("IMPORTRANGE(""https://docs.google.com/spreadsheets/d/1-uDff_7J0KD5mKrp0Vvzr7lt3OU09vwQwhkpOPPYv2Y/edit?usp=sharing"",""งบพรบ!GN21"")"),0)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hidden="1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545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hidden="1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546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hidden="1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545">
        <f ca="1">IFERROR(__xludf.DUMMYFUNCTION("IMPORTRANGE(""https://docs.google.com/spreadsheets/d/1-uDff_7J0KD5mKrp0Vvzr7lt3OU09vwQwhkpOPPYv2Y/edit?usp=sharing"",""งบพรบ!GJ21"")"),0)</f>
        <v>0</v>
      </c>
      <c r="M563" s="224">
        <f ca="1">IFERROR(__xludf.DUMMYFUNCTION("IMPORTRANGE(""https://docs.google.com/spreadsheets/d/1-uDff_7J0KD5mKrp0Vvzr7lt3OU09vwQwhkpOPPYv2Y/edit?usp=sharing"",""งบพรบ!GM21"")"),0)</f>
        <v>0</v>
      </c>
      <c r="N563" s="224">
        <f ca="1">IFERROR(__xludf.DUMMYFUNCTION("IMPORTRANGE(""https://docs.google.com/spreadsheets/d/1-uDff_7J0KD5mKrp0Vvzr7lt3OU09vwQwhkpOPPYv2Y/edit?usp=sharing"",""งบพรบ!GO21"")"),0)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hidden="1" x14ac:dyDescent="0.3">
      <c r="A564" s="138"/>
      <c r="B564" s="139"/>
      <c r="C564" s="374" t="s">
        <v>18</v>
      </c>
      <c r="D564" s="570" t="s">
        <v>38</v>
      </c>
      <c r="E564" s="141"/>
      <c r="F564" s="141"/>
      <c r="G564" s="142"/>
      <c r="H564" s="143"/>
      <c r="I564" s="135"/>
      <c r="J564" s="44"/>
      <c r="K564" s="45"/>
      <c r="L564" s="543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599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599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599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599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599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599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599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599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599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70"/>
      <c r="B574" s="324"/>
      <c r="C574" s="324"/>
      <c r="D574" s="371"/>
      <c r="E574" s="371"/>
      <c r="F574" s="371"/>
      <c r="G574" s="372"/>
      <c r="H574" s="325"/>
      <c r="I574" s="326"/>
      <c r="J574" s="326"/>
      <c r="K574" s="327"/>
      <c r="L574" s="568"/>
      <c r="M574" s="327"/>
      <c r="N574" s="327"/>
      <c r="O574" s="327"/>
      <c r="P574" s="327"/>
      <c r="Q574" s="327"/>
      <c r="R574" s="327"/>
      <c r="S574" s="327"/>
      <c r="T574" s="327"/>
      <c r="U574" s="327"/>
    </row>
    <row r="575" spans="1:21" ht="19.5" hidden="1" x14ac:dyDescent="0.3">
      <c r="A575" s="359"/>
      <c r="B575" s="360" t="s">
        <v>217</v>
      </c>
      <c r="C575" s="361"/>
      <c r="D575" s="362"/>
      <c r="E575" s="362"/>
      <c r="F575" s="362"/>
      <c r="G575" s="363"/>
      <c r="H575" s="373" t="s">
        <v>61</v>
      </c>
      <c r="I575" s="603">
        <f>I587</f>
        <v>0</v>
      </c>
      <c r="J575" s="603">
        <f>J587</f>
        <v>0</v>
      </c>
      <c r="K575" s="602">
        <f>IF(I575&gt;0,J575*100/I575,0)</f>
        <v>0</v>
      </c>
      <c r="L575" s="601"/>
      <c r="M575" s="367"/>
      <c r="N575" s="367"/>
      <c r="O575" s="367"/>
      <c r="P575" s="367"/>
      <c r="Q575" s="367"/>
      <c r="R575" s="367"/>
      <c r="S575" s="367"/>
      <c r="T575" s="367"/>
      <c r="U575" s="367"/>
    </row>
    <row r="576" spans="1:21" ht="19.5" hidden="1" x14ac:dyDescent="0.3">
      <c r="A576" s="128"/>
      <c r="B576" s="40"/>
      <c r="C576" s="129" t="s">
        <v>18</v>
      </c>
      <c r="D576" s="60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548">
        <f ca="1">L577+L578</f>
        <v>0</v>
      </c>
      <c r="M576" s="547">
        <f ca="1">M577+M578</f>
        <v>0</v>
      </c>
      <c r="N576" s="547">
        <f ca="1">N577+N578</f>
        <v>0</v>
      </c>
      <c r="O576" s="547">
        <f ca="1">IF(L576&gt;0,N576*100/L576,0)</f>
        <v>0</v>
      </c>
      <c r="P576" s="547">
        <f ca="1">IF(M576&gt;0,N576*100/M576,0)</f>
        <v>0</v>
      </c>
      <c r="Q576" s="547">
        <f>Q577+Q578</f>
        <v>0</v>
      </c>
      <c r="R576" s="547">
        <f>R577+R578</f>
        <v>0</v>
      </c>
      <c r="S576" s="547">
        <f>S577+S578</f>
        <v>0</v>
      </c>
      <c r="T576" s="547">
        <f>IF(Q576&gt;0,S576*100/Q576,0)</f>
        <v>0</v>
      </c>
      <c r="U576" s="547">
        <f>IF(R576&gt;0,S576*100/R576,0)</f>
        <v>0</v>
      </c>
    </row>
    <row r="577" spans="1:21" ht="18.75" hidden="1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546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hidden="1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545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hidden="1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545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hidden="1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546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hidden="1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545">
        <f ca="1">IFERROR(__xludf.DUMMYFUNCTION("IMPORTRANGE(""https://docs.google.com/spreadsheets/d/1-uDff_7J0KD5mKrp0Vvzr7lt3OU09vwQwhkpOPPYv2Y/edit?usp=sharing"",""งบพรบ!GQ21"")"),0)</f>
        <v>0</v>
      </c>
      <c r="M581" s="224">
        <f ca="1">IFERROR(__xludf.DUMMYFUNCTION("IMPORTRANGE(""https://docs.google.com/spreadsheets/d/1-uDff_7J0KD5mKrp0Vvzr7lt3OU09vwQwhkpOPPYv2Y/edit?usp=sharing"",""งบพรบ!GV21"")"),0)</f>
        <v>0</v>
      </c>
      <c r="N581" s="224">
        <f ca="1">IFERROR(__xludf.DUMMYFUNCTION("IMPORTRANGE(""https://docs.google.com/spreadsheets/d/1-uDff_7J0KD5mKrp0Vvzr7lt3OU09vwQwhkpOPPYv2Y/edit?usp=sharing"",""งบพรบ!GX21"")"),0)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hidden="1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545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hidden="1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546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hidden="1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545">
        <f ca="1">IFERROR(__xludf.DUMMYFUNCTION("IMPORTRANGE(""https://docs.google.com/spreadsheets/d/1-uDff_7J0KD5mKrp0Vvzr7lt3OU09vwQwhkpOPPYv2Y/edit?usp=sharing"",""งบพรบ!GT21"")"),0)</f>
        <v>0</v>
      </c>
      <c r="M584" s="224">
        <f ca="1">IFERROR(__xludf.DUMMYFUNCTION("IMPORTRANGE(""https://docs.google.com/spreadsheets/d/1-uDff_7J0KD5mKrp0Vvzr7lt3OU09vwQwhkpOPPYv2Y/edit?usp=sharing"",""งบพรบ!GW21"")"),0)</f>
        <v>0</v>
      </c>
      <c r="N584" s="224">
        <f ca="1">IFERROR(__xludf.DUMMYFUNCTION("IMPORTRANGE(""https://docs.google.com/spreadsheets/d/1-uDff_7J0KD5mKrp0Vvzr7lt3OU09vwQwhkpOPPYv2Y/edit?usp=sharing"",""งบพรบ!GY21"")"),0)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hidden="1" x14ac:dyDescent="0.3">
      <c r="A585" s="138"/>
      <c r="B585" s="139"/>
      <c r="C585" s="374" t="s">
        <v>18</v>
      </c>
      <c r="D585" s="570" t="s">
        <v>38</v>
      </c>
      <c r="E585" s="141"/>
      <c r="F585" s="141"/>
      <c r="G585" s="142"/>
      <c r="H585" s="143"/>
      <c r="I585" s="135"/>
      <c r="J585" s="44"/>
      <c r="K585" s="45"/>
      <c r="L585" s="543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599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599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599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599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599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599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599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599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599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70"/>
      <c r="B595" s="324"/>
      <c r="C595" s="324"/>
      <c r="D595" s="371"/>
      <c r="E595" s="371"/>
      <c r="F595" s="371"/>
      <c r="G595" s="372"/>
      <c r="H595" s="325"/>
      <c r="I595" s="326"/>
      <c r="J595" s="326"/>
      <c r="K595" s="327"/>
      <c r="L595" s="568"/>
      <c r="M595" s="327"/>
      <c r="N595" s="327"/>
      <c r="O595" s="327"/>
      <c r="P595" s="327"/>
      <c r="Q595" s="327"/>
      <c r="R595" s="327"/>
      <c r="S595" s="327"/>
      <c r="T595" s="327"/>
      <c r="U595" s="327"/>
    </row>
    <row r="596" spans="1:21" ht="19.5" hidden="1" x14ac:dyDescent="0.3">
      <c r="A596" s="598" t="s">
        <v>220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97" t="s">
        <v>221</v>
      </c>
      <c r="C597" s="172"/>
      <c r="D597" s="125"/>
      <c r="E597" s="27"/>
      <c r="F597" s="27"/>
      <c r="G597" s="27"/>
      <c r="H597" s="596" t="s">
        <v>99</v>
      </c>
      <c r="I597" s="182"/>
      <c r="J597" s="32"/>
      <c r="K597" s="33"/>
      <c r="L597" s="592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hidden="1" x14ac:dyDescent="0.3">
      <c r="A598" s="595"/>
      <c r="B598" s="594" t="s">
        <v>222</v>
      </c>
      <c r="C598" s="125"/>
      <c r="D598" s="27"/>
      <c r="E598" s="27"/>
      <c r="F598" s="27"/>
      <c r="G598" s="30"/>
      <c r="H598" s="593" t="s">
        <v>35</v>
      </c>
      <c r="I598" s="32"/>
      <c r="J598" s="32"/>
      <c r="K598" s="33"/>
      <c r="L598" s="592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hidden="1" x14ac:dyDescent="0.3">
      <c r="A599" s="128"/>
      <c r="B599" s="158"/>
      <c r="C599" s="177" t="s">
        <v>18</v>
      </c>
      <c r="D599" s="566" t="s">
        <v>19</v>
      </c>
      <c r="E599" s="526"/>
      <c r="F599" s="526"/>
      <c r="G599" s="527"/>
      <c r="H599" s="480" t="s">
        <v>14</v>
      </c>
      <c r="I599" s="44"/>
      <c r="J599" s="44"/>
      <c r="K599" s="45"/>
      <c r="L599" s="548">
        <f ca="1">L600+L601</f>
        <v>0</v>
      </c>
      <c r="M599" s="547">
        <f ca="1">M600+M601</f>
        <v>0</v>
      </c>
      <c r="N599" s="547">
        <f ca="1">N600+N601</f>
        <v>0</v>
      </c>
      <c r="O599" s="547">
        <f ca="1">IF(L599&gt;0,N599*100/L599,0)</f>
        <v>0</v>
      </c>
      <c r="P599" s="547">
        <f ca="1">IF(M599&gt;0,N599*100/M599,0)</f>
        <v>0</v>
      </c>
      <c r="Q599" s="547">
        <f ca="1">Q600+Q601</f>
        <v>0</v>
      </c>
      <c r="R599" s="547">
        <f ca="1">R600+R601</f>
        <v>0</v>
      </c>
      <c r="S599" s="547">
        <f ca="1">S600+S601</f>
        <v>0</v>
      </c>
      <c r="T599" s="547">
        <f ca="1">IF(Q599&gt;0,S599*100/Q599,0)</f>
        <v>0</v>
      </c>
      <c r="U599" s="547">
        <f ca="1">IF(R599&gt;0,S599*100/R599,0)</f>
        <v>0</v>
      </c>
    </row>
    <row r="600" spans="1:21" ht="18.75" hidden="1" x14ac:dyDescent="0.25">
      <c r="A600" s="128"/>
      <c r="B600" s="158"/>
      <c r="C600" s="158"/>
      <c r="D600" s="145"/>
      <c r="E600" s="156" t="s">
        <v>162</v>
      </c>
      <c r="F600" s="40"/>
      <c r="G600" s="42"/>
      <c r="H600" s="159" t="s">
        <v>14</v>
      </c>
      <c r="I600" s="44"/>
      <c r="J600" s="44"/>
      <c r="K600" s="45"/>
      <c r="L600" s="546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hidden="1" x14ac:dyDescent="0.25">
      <c r="A601" s="128"/>
      <c r="B601" s="158"/>
      <c r="C601" s="158"/>
      <c r="D601" s="145"/>
      <c r="E601" s="156" t="s">
        <v>163</v>
      </c>
      <c r="F601" s="40"/>
      <c r="G601" s="42"/>
      <c r="H601" s="159" t="s">
        <v>14</v>
      </c>
      <c r="I601" s="44"/>
      <c r="J601" s="44"/>
      <c r="K601" s="45"/>
      <c r="L601" s="545">
        <f ca="1">L604+L607</f>
        <v>0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hidden="1" x14ac:dyDescent="0.3">
      <c r="A602" s="128"/>
      <c r="B602" s="158"/>
      <c r="C602" s="158"/>
      <c r="D602" s="565" t="s">
        <v>22</v>
      </c>
      <c r="E602" s="40"/>
      <c r="F602" s="40"/>
      <c r="G602" s="42"/>
      <c r="H602" s="480" t="s">
        <v>14</v>
      </c>
      <c r="I602" s="135"/>
      <c r="J602" s="135"/>
      <c r="K602" s="136"/>
      <c r="L602" s="545">
        <f ca="1">L603+L604</f>
        <v>0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hidden="1" x14ac:dyDescent="0.25">
      <c r="A603" s="128"/>
      <c r="B603" s="158"/>
      <c r="C603" s="158"/>
      <c r="D603" s="145"/>
      <c r="E603" s="156" t="s">
        <v>162</v>
      </c>
      <c r="F603" s="40"/>
      <c r="G603" s="42"/>
      <c r="H603" s="159" t="s">
        <v>14</v>
      </c>
      <c r="I603" s="44"/>
      <c r="J603" s="44"/>
      <c r="K603" s="45"/>
      <c r="L603" s="546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hidden="1" x14ac:dyDescent="0.25">
      <c r="A604" s="128"/>
      <c r="B604" s="158"/>
      <c r="C604" s="158"/>
      <c r="D604" s="145"/>
      <c r="E604" s="156" t="s">
        <v>163</v>
      </c>
      <c r="F604" s="40"/>
      <c r="G604" s="42"/>
      <c r="H604" s="159" t="s">
        <v>14</v>
      </c>
      <c r="I604" s="44"/>
      <c r="J604" s="44"/>
      <c r="K604" s="45"/>
      <c r="L604" s="545">
        <f ca="1">IFERROR(__xludf.DUMMYFUNCTION("IMPORTRANGE(""https://docs.google.com/spreadsheets/d/1-uDff_7J0KD5mKrp0Vvzr7lt3OU09vwQwhkpOPPYv2Y/edit?usp=sharing"",""งบพรบ!HK21"")"),0)</f>
        <v>0</v>
      </c>
      <c r="M604" s="224">
        <f ca="1">IFERROR(__xludf.DUMMYFUNCTION("IMPORTRANGE(""https://docs.google.com/spreadsheets/d/1-uDff_7J0KD5mKrp0Vvzr7lt3OU09vwQwhkpOPPYv2Y/edit?usp=sharing"",""งบพรบ!HP21"")"),0)</f>
        <v>0</v>
      </c>
      <c r="N604" s="224">
        <f ca="1">IFERROR(__xludf.DUMMYFUNCTION("IMPORTRANGE(""https://docs.google.com/spreadsheets/d/1-uDff_7J0KD5mKrp0Vvzr7lt3OU09vwQwhkpOPPYv2Y/edit?usp=sharing"",""งบพรบ!HR21"")"),0)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IFERROR(__xludf.DUMMYFUNCTION("IMPORTRANGE(""https://docs.google.com/spreadsheets/d/1ItG2mGa2ceCfYo0BwxsXqNm01IGEUdYcSSLTEv9YCik/edit?usp=sharing"",""เบิกจ่ายกองทุน!AV21"")"),0)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IFERROR(__xludf.DUMMYFUNCTION("IMPORTRANGE(""https://docs.google.com/spreadsheets/d/1ItG2mGa2ceCfYo0BwxsXqNm01IGEUdYcSSLTEv9YCik/edit?usp=sharing"",""เบิกจ่ายกองทุน!AW21"")"),0)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IFERROR(__xludf.DUMMYFUNCTION("IMPORTRANGE(""https://docs.google.com/spreadsheets/d/1ItG2mGa2ceCfYo0BwxsXqNm01IGEUdYcSSLTEv9YCik/edit?usp=sharing"",""เบิกจ่ายกองทุน!AX21"")"),0)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hidden="1" x14ac:dyDescent="0.3">
      <c r="A605" s="128"/>
      <c r="B605" s="158"/>
      <c r="C605" s="158"/>
      <c r="D605" s="565" t="s">
        <v>23</v>
      </c>
      <c r="E605" s="158"/>
      <c r="F605" s="40"/>
      <c r="G605" s="42"/>
      <c r="H605" s="482" t="s">
        <v>14</v>
      </c>
      <c r="I605" s="135"/>
      <c r="J605" s="135"/>
      <c r="K605" s="136"/>
      <c r="L605" s="545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hidden="1" x14ac:dyDescent="0.25">
      <c r="A606" s="128"/>
      <c r="B606" s="158"/>
      <c r="C606" s="158"/>
      <c r="D606" s="158"/>
      <c r="E606" s="322" t="s">
        <v>20</v>
      </c>
      <c r="F606" s="40"/>
      <c r="G606" s="42"/>
      <c r="H606" s="159" t="s">
        <v>14</v>
      </c>
      <c r="I606" s="135"/>
      <c r="J606" s="135"/>
      <c r="K606" s="136"/>
      <c r="L606" s="546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hidden="1" x14ac:dyDescent="0.25">
      <c r="A607" s="128"/>
      <c r="B607" s="158"/>
      <c r="C607" s="158"/>
      <c r="D607" s="40"/>
      <c r="E607" s="322" t="s">
        <v>21</v>
      </c>
      <c r="F607" s="40"/>
      <c r="G607" s="42"/>
      <c r="H607" s="483" t="s">
        <v>14</v>
      </c>
      <c r="I607" s="135"/>
      <c r="J607" s="135"/>
      <c r="K607" s="136"/>
      <c r="L607" s="545">
        <f ca="1">IFERROR(__xludf.DUMMYFUNCTION("IMPORTRANGE(""https://docs.google.com/spreadsheets/d/1-uDff_7J0KD5mKrp0Vvzr7lt3OU09vwQwhkpOPPYv2Y/edit?usp=sharing"",""งบพรบ!HN21"")"),0)</f>
        <v>0</v>
      </c>
      <c r="M607" s="224">
        <f ca="1">IFERROR(__xludf.DUMMYFUNCTION("IMPORTRANGE(""https://docs.google.com/spreadsheets/d/1-uDff_7J0KD5mKrp0Vvzr7lt3OU09vwQwhkpOPPYv2Y/edit?usp=sharing"",""งบพรบ!HQ21"")"),0)</f>
        <v>0</v>
      </c>
      <c r="N607" s="224">
        <f ca="1">IFERROR(__xludf.DUMMYFUNCTION("IMPORTRANGE(""https://docs.google.com/spreadsheets/d/1-uDff_7J0KD5mKrp0Vvzr7lt3OU09vwQwhkpOPPYv2Y/edit?usp=sharing"",""งบพรบ!HS21"")"),0)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IFERROR(__xludf.DUMMYFUNCTION("IMPORTRANGE(""https://docs.google.com/spreadsheets/d/1ItG2mGa2ceCfYo0BwxsXqNm01IGEUdYcSSLTEv9YCik/edit?usp=sharing"",""เบิกจ่ายกองทุน!AY21"")"),0)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IFERROR(__xludf.DUMMYFUNCTION("IMPORTRANGE(""https://docs.google.com/spreadsheets/d/1ItG2mGa2ceCfYo0BwxsXqNm01IGEUdYcSSLTEv9YCik/edit?usp=sharing"",""เบิกจ่ายกองทุน!AZ21"")"),0)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IFERROR(__xludf.DUMMYFUNCTION("IMPORTRANGE(""https://docs.google.com/spreadsheets/d/1ItG2mGa2ceCfYo0BwxsXqNm01IGEUdYcSSLTEv9YCik/edit?usp=sharing"",""เบิกจ่ายกองทุน!BA21"")"),0)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hidden="1" x14ac:dyDescent="0.3">
      <c r="A608" s="138"/>
      <c r="B608" s="139"/>
      <c r="C608" s="177" t="s">
        <v>18</v>
      </c>
      <c r="D608" s="591" t="s">
        <v>38</v>
      </c>
      <c r="E608" s="141"/>
      <c r="F608" s="141"/>
      <c r="G608" s="142"/>
      <c r="H608" s="178"/>
      <c r="I608" s="135"/>
      <c r="J608" s="135"/>
      <c r="K608" s="136"/>
      <c r="L608" s="543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hidden="1" x14ac:dyDescent="0.25">
      <c r="A609" s="138"/>
      <c r="B609" s="139"/>
      <c r="C609" s="139"/>
      <c r="D609" s="499" t="s">
        <v>223</v>
      </c>
      <c r="E609" s="145"/>
      <c r="F609" s="145"/>
      <c r="G609" s="143"/>
      <c r="H609" s="159" t="s">
        <v>99</v>
      </c>
      <c r="I609" s="44"/>
      <c r="J609" s="44"/>
      <c r="K609" s="136"/>
      <c r="L609" s="543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hidden="1" x14ac:dyDescent="0.3">
      <c r="A610" s="138"/>
      <c r="B610" s="139"/>
      <c r="C610" s="139"/>
      <c r="D610" s="499" t="s">
        <v>224</v>
      </c>
      <c r="E610" s="145"/>
      <c r="F610" s="145"/>
      <c r="G610" s="143"/>
      <c r="H610" s="480" t="s">
        <v>35</v>
      </c>
      <c r="I610" s="44"/>
      <c r="J610" s="44"/>
      <c r="K610" s="136"/>
      <c r="L610" s="543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hidden="1" x14ac:dyDescent="0.25">
      <c r="A611" s="138"/>
      <c r="B611" s="139"/>
      <c r="C611" s="139"/>
      <c r="D611" s="139"/>
      <c r="E611" s="499" t="s">
        <v>225</v>
      </c>
      <c r="F611" s="145"/>
      <c r="G611" s="143"/>
      <c r="H611" s="483" t="s">
        <v>35</v>
      </c>
      <c r="I611" s="44"/>
      <c r="J611" s="44"/>
      <c r="K611" s="136"/>
      <c r="L611" s="543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hidden="1" thickBot="1" x14ac:dyDescent="0.3">
      <c r="A612" s="590"/>
      <c r="B612" s="589"/>
      <c r="C612" s="589"/>
      <c r="D612" s="589"/>
      <c r="E612" s="588" t="s">
        <v>226</v>
      </c>
      <c r="F612" s="587"/>
      <c r="G612" s="586"/>
      <c r="H612" s="585" t="s">
        <v>35</v>
      </c>
      <c r="I612" s="584"/>
      <c r="J612" s="584"/>
      <c r="K612" s="583"/>
      <c r="L612" s="582"/>
      <c r="M612" s="581"/>
      <c r="N612" s="581"/>
      <c r="O612" s="581"/>
      <c r="P612" s="581"/>
      <c r="Q612" s="581"/>
      <c r="R612" s="581"/>
      <c r="S612" s="581"/>
      <c r="T612" s="581"/>
      <c r="U612" s="581"/>
    </row>
    <row r="613" spans="1:21" ht="19.5" hidden="1" x14ac:dyDescent="0.3">
      <c r="A613" s="438" t="s">
        <v>227</v>
      </c>
      <c r="B613" s="439"/>
      <c r="C613" s="439"/>
      <c r="D613" s="440"/>
      <c r="E613" s="440"/>
      <c r="F613" s="440"/>
      <c r="G613" s="441"/>
      <c r="H613" s="442"/>
      <c r="I613" s="443"/>
      <c r="J613" s="443"/>
      <c r="K613" s="444"/>
      <c r="L613" s="580"/>
      <c r="M613" s="444"/>
      <c r="N613" s="444"/>
      <c r="O613" s="444"/>
      <c r="P613" s="444"/>
      <c r="Q613" s="444"/>
      <c r="R613" s="444"/>
      <c r="S613" s="444"/>
      <c r="T613" s="444"/>
      <c r="U613" s="444"/>
    </row>
    <row r="614" spans="1:21" ht="19.5" x14ac:dyDescent="0.3">
      <c r="A614" s="489"/>
      <c r="B614" s="446" t="s">
        <v>228</v>
      </c>
      <c r="C614" s="445"/>
      <c r="D614" s="447"/>
      <c r="E614" s="447"/>
      <c r="F614" s="447"/>
      <c r="G614" s="448"/>
      <c r="H614" s="449"/>
      <c r="I614" s="450"/>
      <c r="J614" s="450"/>
      <c r="K614" s="451"/>
      <c r="L614" s="550"/>
      <c r="M614" s="451"/>
      <c r="N614" s="451"/>
      <c r="O614" s="451"/>
      <c r="P614" s="451"/>
      <c r="Q614" s="451"/>
      <c r="R614" s="451"/>
      <c r="S614" s="451"/>
      <c r="T614" s="451"/>
      <c r="U614" s="451"/>
    </row>
    <row r="615" spans="1:21" ht="19.5" x14ac:dyDescent="0.3">
      <c r="A615" s="577"/>
      <c r="B615" s="453" t="s">
        <v>229</v>
      </c>
      <c r="C615" s="452"/>
      <c r="D615" s="454"/>
      <c r="E615" s="454"/>
      <c r="F615" s="454"/>
      <c r="G615" s="455"/>
      <c r="H615" s="456" t="s">
        <v>46</v>
      </c>
      <c r="I615" s="579">
        <f ca="1">I626</f>
        <v>0</v>
      </c>
      <c r="J615" s="579">
        <f>J626</f>
        <v>0</v>
      </c>
      <c r="K615" s="578">
        <f ca="1">IF(I615&gt;0,J615*100/I615,0)</f>
        <v>0</v>
      </c>
      <c r="L615" s="576"/>
      <c r="M615" s="459"/>
      <c r="N615" s="459"/>
      <c r="O615" s="459"/>
      <c r="P615" s="459"/>
      <c r="Q615" s="459"/>
      <c r="R615" s="459"/>
      <c r="S615" s="459"/>
      <c r="T615" s="459"/>
      <c r="U615" s="459"/>
    </row>
    <row r="616" spans="1:21" ht="19.5" x14ac:dyDescent="0.3">
      <c r="A616" s="128"/>
      <c r="B616" s="158"/>
      <c r="C616" s="374" t="s">
        <v>18</v>
      </c>
      <c r="D616" s="549" t="s">
        <v>19</v>
      </c>
      <c r="E616" s="526"/>
      <c r="F616" s="526"/>
      <c r="G616" s="527"/>
      <c r="H616" s="221" t="s">
        <v>14</v>
      </c>
      <c r="I616" s="44"/>
      <c r="J616" s="44"/>
      <c r="K616" s="45"/>
      <c r="L616" s="548">
        <f>L617+L618</f>
        <v>0</v>
      </c>
      <c r="M616" s="547">
        <f>M617+M618</f>
        <v>0</v>
      </c>
      <c r="N616" s="547">
        <f>N617+N618</f>
        <v>0</v>
      </c>
      <c r="O616" s="547">
        <f>IF(L616&gt;0,N616*100/L616,0)</f>
        <v>0</v>
      </c>
      <c r="P616" s="547">
        <f>IF(M616&gt;0,N616*100/M616,0)</f>
        <v>0</v>
      </c>
      <c r="Q616" s="547">
        <f ca="1">Q617+Q618</f>
        <v>1300</v>
      </c>
      <c r="R616" s="547">
        <f ca="1">R617+R618</f>
        <v>0</v>
      </c>
      <c r="S616" s="547">
        <f ca="1">S617+S618</f>
        <v>0</v>
      </c>
      <c r="T616" s="547">
        <f ca="1">IF(Q616&gt;0,S616*100/Q616,0)</f>
        <v>0</v>
      </c>
      <c r="U616" s="547">
        <f ca="1">IF(R616&gt;0,S616*100/R616,0)</f>
        <v>0</v>
      </c>
    </row>
    <row r="617" spans="1:21" ht="18.75" hidden="1" x14ac:dyDescent="0.25">
      <c r="A617" s="128"/>
      <c r="B617" s="158"/>
      <c r="C617" s="158"/>
      <c r="D617" s="145"/>
      <c r="E617" s="156" t="s">
        <v>162</v>
      </c>
      <c r="F617" s="40"/>
      <c r="G617" s="42"/>
      <c r="H617" s="159" t="s">
        <v>14</v>
      </c>
      <c r="I617" s="44"/>
      <c r="J617" s="44"/>
      <c r="K617" s="45"/>
      <c r="L617" s="546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hidden="1" x14ac:dyDescent="0.25">
      <c r="A618" s="128"/>
      <c r="B618" s="158"/>
      <c r="C618" s="158"/>
      <c r="D618" s="145"/>
      <c r="E618" s="47" t="s">
        <v>163</v>
      </c>
      <c r="F618" s="40"/>
      <c r="G618" s="42"/>
      <c r="H618" s="134" t="s">
        <v>14</v>
      </c>
      <c r="I618" s="44"/>
      <c r="J618" s="44"/>
      <c r="K618" s="45"/>
      <c r="L618" s="545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1300</v>
      </c>
      <c r="R618" s="224">
        <f ca="1">R621+R624</f>
        <v>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545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1300</v>
      </c>
      <c r="R619" s="224">
        <f ca="1">R620+R621</f>
        <v>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hidden="1" x14ac:dyDescent="0.25">
      <c r="A620" s="128"/>
      <c r="B620" s="158"/>
      <c r="C620" s="158"/>
      <c r="D620" s="145"/>
      <c r="E620" s="156" t="s">
        <v>162</v>
      </c>
      <c r="F620" s="40"/>
      <c r="G620" s="42"/>
      <c r="H620" s="159" t="s">
        <v>14</v>
      </c>
      <c r="I620" s="44"/>
      <c r="J620" s="44"/>
      <c r="K620" s="45"/>
      <c r="L620" s="546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hidden="1" x14ac:dyDescent="0.25">
      <c r="A621" s="128"/>
      <c r="B621" s="158"/>
      <c r="C621" s="158"/>
      <c r="D621" s="145"/>
      <c r="E621" s="47" t="s">
        <v>163</v>
      </c>
      <c r="F621" s="40"/>
      <c r="G621" s="42"/>
      <c r="H621" s="134" t="s">
        <v>14</v>
      </c>
      <c r="I621" s="44"/>
      <c r="J621" s="44"/>
      <c r="K621" s="45"/>
      <c r="L621" s="545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IFERROR(__xludf.DUMMYFUNCTION("IMPORTRANGE(""https://docs.google.com/spreadsheets/d/1ItG2mGa2ceCfYo0BwxsXqNm01IGEUdYcSSLTEv9YCik/edit?usp=sharing"",""เบิกจ่ายกองทุน!F21"")"),1300)</f>
        <v>1300</v>
      </c>
      <c r="R621" s="224">
        <f ca="1">IFERROR(__xludf.DUMMYFUNCTION("IMPORTRANGE(""https://docs.google.com/spreadsheets/d/1ItG2mGa2ceCfYo0BwxsXqNm01IGEUdYcSSLTEv9YCik/edit?usp=sharing"",""เบิกจ่ายกองทุน!G21"")"),0)</f>
        <v>0</v>
      </c>
      <c r="S621" s="224">
        <f ca="1">IFERROR(__xludf.DUMMYFUNCTION("IMPORTRANGE(""https://docs.google.com/spreadsheets/d/1ItG2mGa2ceCfYo0BwxsXqNm01IGEUdYcSSLTEv9YCik/edit?usp=sharing"",""เบิกจ่ายกองทุน!H21"")"),0)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545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hidden="1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546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hidden="1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545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hidden="1" x14ac:dyDescent="0.3">
      <c r="A625" s="138"/>
      <c r="B625" s="139"/>
      <c r="C625" s="177" t="s">
        <v>18</v>
      </c>
      <c r="D625" s="544" t="s">
        <v>38</v>
      </c>
      <c r="E625" s="141"/>
      <c r="F625" s="141"/>
      <c r="G625" s="142"/>
      <c r="H625" s="178"/>
      <c r="I625" s="135"/>
      <c r="J625" s="135"/>
      <c r="K625" s="136"/>
      <c r="L625" s="563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hidden="1" x14ac:dyDescent="0.3">
      <c r="A626" s="138"/>
      <c r="B626" s="139"/>
      <c r="C626" s="139"/>
      <c r="D626" s="461" t="s">
        <v>230</v>
      </c>
      <c r="E626" s="145"/>
      <c r="F626" s="145"/>
      <c r="G626" s="143"/>
      <c r="H626" s="462" t="s">
        <v>46</v>
      </c>
      <c r="I626" s="338">
        <f ca="1">IFERROR(__xludf.DUMMYFUNCTION("IMPORTRANGE(""https://docs.google.com/spreadsheets/d/1eHaY18a8A9IcSdp1K8H6x8fbOy06t2VsZHhMHf-1x7Y/edit?usp=sharing"",""แผน!ID21"")"),0)</f>
        <v>0</v>
      </c>
      <c r="J626" s="338">
        <f>J632</f>
        <v>0</v>
      </c>
      <c r="K626" s="547">
        <f ca="1">IF(I626&gt;0,J626*100/I626,0)</f>
        <v>0</v>
      </c>
      <c r="L626" s="563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hidden="1" x14ac:dyDescent="0.25">
      <c r="A627" s="138"/>
      <c r="B627" s="139"/>
      <c r="C627" s="139"/>
      <c r="D627" s="139"/>
      <c r="E627" s="149" t="s">
        <v>231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IFERROR(__xludf.DUMMYFUNCTION("IMPORTRANGE(""https://docs.google.com/spreadsheets/d/1eHaY18a8A9IcSdp1K8H6x8fbOy06t2VsZHhMHf-1x7Y/edit?usp=sharing"",""แผน!IC21"")"),0)</f>
        <v>0</v>
      </c>
      <c r="J627" s="380">
        <v>0</v>
      </c>
      <c r="K627" s="224">
        <f ca="1">IF(I627&gt;0,(J627*100)/I627,0)</f>
        <v>0</v>
      </c>
      <c r="L627" s="563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hidden="1" x14ac:dyDescent="0.25">
      <c r="A628" s="138"/>
      <c r="B628" s="139"/>
      <c r="C628" s="139"/>
      <c r="D628" s="139"/>
      <c r="E628" s="149" t="s">
        <v>232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IFERROR(__xludf.DUMMYFUNCTION("IMPORTRANGE(""https://docs.google.com/spreadsheets/d/1eHaY18a8A9IcSdp1K8H6x8fbOy06t2VsZHhMHf-1x7Y/edit?usp=sharing"",""แผน!IC21"")"),0)</f>
        <v>0</v>
      </c>
      <c r="J628" s="380">
        <v>0</v>
      </c>
      <c r="K628" s="224">
        <f ca="1">IF(I628&gt;0,(J628*100)/I628,0)</f>
        <v>0</v>
      </c>
      <c r="L628" s="563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hidden="1" x14ac:dyDescent="0.25">
      <c r="A629" s="138"/>
      <c r="B629" s="139"/>
      <c r="C629" s="139"/>
      <c r="D629" s="139"/>
      <c r="E629" s="149" t="s">
        <v>233</v>
      </c>
      <c r="F629" s="145"/>
      <c r="G629" s="143"/>
      <c r="H629" s="137" t="s">
        <v>46</v>
      </c>
      <c r="I629" s="44"/>
      <c r="J629" s="380">
        <v>0</v>
      </c>
      <c r="K629" s="224">
        <f ca="1">IF(I$626&gt;0,J629*100/I$626,0)</f>
        <v>0</v>
      </c>
      <c r="L629" s="563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hidden="1" x14ac:dyDescent="0.25">
      <c r="A630" s="138"/>
      <c r="B630" s="139"/>
      <c r="C630" s="139"/>
      <c r="D630" s="139"/>
      <c r="E630" s="149" t="s">
        <v>234</v>
      </c>
      <c r="F630" s="145"/>
      <c r="G630" s="143"/>
      <c r="H630" s="137" t="s">
        <v>46</v>
      </c>
      <c r="I630" s="44"/>
      <c r="J630" s="380">
        <v>0</v>
      </c>
      <c r="K630" s="224">
        <f ca="1">IF(I$626&gt;0,J630*100/I$626,0)</f>
        <v>0</v>
      </c>
      <c r="L630" s="563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hidden="1" x14ac:dyDescent="0.25">
      <c r="A631" s="138"/>
      <c r="B631" s="139"/>
      <c r="C631" s="139"/>
      <c r="D631" s="139"/>
      <c r="E631" s="149" t="s">
        <v>235</v>
      </c>
      <c r="F631" s="145"/>
      <c r="G631" s="143"/>
      <c r="H631" s="137" t="s">
        <v>46</v>
      </c>
      <c r="I631" s="44"/>
      <c r="J631" s="380">
        <v>0</v>
      </c>
      <c r="K631" s="224">
        <f ca="1">IF(I$626&gt;0,J631*100/I$626,0)</f>
        <v>0</v>
      </c>
      <c r="L631" s="563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hidden="1" x14ac:dyDescent="0.3">
      <c r="A632" s="138"/>
      <c r="B632" s="139"/>
      <c r="C632" s="139"/>
      <c r="D632" s="139"/>
      <c r="E632" s="149" t="s">
        <v>236</v>
      </c>
      <c r="F632" s="145"/>
      <c r="G632" s="143"/>
      <c r="H632" s="137" t="s">
        <v>46</v>
      </c>
      <c r="I632" s="44"/>
      <c r="J632" s="338">
        <f>J633+J634</f>
        <v>0</v>
      </c>
      <c r="K632" s="547">
        <f ca="1">IF(I626&gt;0,J632*100/I626,0)</f>
        <v>0</v>
      </c>
      <c r="L632" s="563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hidden="1" x14ac:dyDescent="0.25">
      <c r="A633" s="138"/>
      <c r="B633" s="139"/>
      <c r="C633" s="139"/>
      <c r="D633" s="139"/>
      <c r="E633" s="145"/>
      <c r="F633" s="149" t="s">
        <v>237</v>
      </c>
      <c r="G633" s="143"/>
      <c r="H633" s="137" t="s">
        <v>46</v>
      </c>
      <c r="I633" s="44"/>
      <c r="J633" s="380">
        <v>0</v>
      </c>
      <c r="K633" s="45"/>
      <c r="L633" s="563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hidden="1" x14ac:dyDescent="0.25">
      <c r="A634" s="138"/>
      <c r="B634" s="139"/>
      <c r="C634" s="139"/>
      <c r="D634" s="139"/>
      <c r="E634" s="145"/>
      <c r="F634" s="149" t="s">
        <v>238</v>
      </c>
      <c r="G634" s="143"/>
      <c r="H634" s="137" t="s">
        <v>46</v>
      </c>
      <c r="I634" s="44"/>
      <c r="J634" s="380">
        <v>0</v>
      </c>
      <c r="K634" s="45"/>
      <c r="L634" s="563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hidden="1" x14ac:dyDescent="0.3">
      <c r="A635" s="138"/>
      <c r="B635" s="139"/>
      <c r="C635" s="139"/>
      <c r="D635" s="461" t="s">
        <v>239</v>
      </c>
      <c r="E635" s="145"/>
      <c r="F635" s="145"/>
      <c r="G635" s="143"/>
      <c r="H635" s="137" t="s">
        <v>46</v>
      </c>
      <c r="I635" s="338">
        <f ca="1">IFERROR(__xludf.DUMMYFUNCTION("IMPORTRANGE(""https://docs.google.com/spreadsheets/d/1eHaY18a8A9IcSdp1K8H6x8fbOy06t2VsZHhMHf-1x7Y/edit?usp=sharing"",""แผน!IE21"")"),0)</f>
        <v>0</v>
      </c>
      <c r="J635" s="338">
        <f>J636</f>
        <v>0</v>
      </c>
      <c r="K635" s="547">
        <f ca="1">IF(I635&gt;0,J635*100/I635,0)</f>
        <v>0</v>
      </c>
      <c r="L635" s="563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hidden="1" x14ac:dyDescent="0.25">
      <c r="A636" s="138"/>
      <c r="B636" s="139"/>
      <c r="C636" s="139"/>
      <c r="D636" s="139"/>
      <c r="E636" s="149" t="s">
        <v>240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563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hidden="1" x14ac:dyDescent="0.25">
      <c r="A637" s="138"/>
      <c r="B637" s="139"/>
      <c r="C637" s="139"/>
      <c r="D637" s="139"/>
      <c r="E637" s="145"/>
      <c r="F637" s="149" t="s">
        <v>237</v>
      </c>
      <c r="G637" s="143"/>
      <c r="H637" s="137" t="s">
        <v>46</v>
      </c>
      <c r="I637" s="44"/>
      <c r="J637" s="380">
        <v>0</v>
      </c>
      <c r="K637" s="45"/>
      <c r="L637" s="563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hidden="1" x14ac:dyDescent="0.25">
      <c r="A638" s="138"/>
      <c r="B638" s="139"/>
      <c r="C638" s="139"/>
      <c r="D638" s="139"/>
      <c r="E638" s="145"/>
      <c r="F638" s="149" t="s">
        <v>238</v>
      </c>
      <c r="G638" s="143"/>
      <c r="H638" s="137" t="s">
        <v>46</v>
      </c>
      <c r="I638" s="44"/>
      <c r="J638" s="380">
        <v>0</v>
      </c>
      <c r="K638" s="45"/>
      <c r="L638" s="563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hidden="1" x14ac:dyDescent="0.25">
      <c r="A639" s="138"/>
      <c r="B639" s="139"/>
      <c r="C639" s="139"/>
      <c r="D639" s="139"/>
      <c r="E639" s="149" t="s">
        <v>241</v>
      </c>
      <c r="F639" s="145"/>
      <c r="G639" s="143"/>
      <c r="H639" s="137" t="s">
        <v>46</v>
      </c>
      <c r="I639" s="44"/>
      <c r="J639" s="380">
        <v>0</v>
      </c>
      <c r="K639" s="45"/>
      <c r="L639" s="563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hidden="1" x14ac:dyDescent="0.25">
      <c r="A640" s="138"/>
      <c r="B640" s="139"/>
      <c r="C640" s="139"/>
      <c r="D640" s="139"/>
      <c r="E640" s="145"/>
      <c r="F640" s="149" t="s">
        <v>242</v>
      </c>
      <c r="G640" s="143"/>
      <c r="H640" s="137" t="s">
        <v>46</v>
      </c>
      <c r="I640" s="44"/>
      <c r="J640" s="380">
        <v>0</v>
      </c>
      <c r="K640" s="45"/>
      <c r="L640" s="563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7"/>
      <c r="B641" s="453" t="s">
        <v>243</v>
      </c>
      <c r="C641" s="452"/>
      <c r="D641" s="454"/>
      <c r="E641" s="454"/>
      <c r="F641" s="454"/>
      <c r="G641" s="455"/>
      <c r="H641" s="463"/>
      <c r="I641" s="464"/>
      <c r="J641" s="464"/>
      <c r="K641" s="459"/>
      <c r="L641" s="576"/>
      <c r="M641" s="459"/>
      <c r="N641" s="459"/>
      <c r="O641" s="459"/>
      <c r="P641" s="459"/>
      <c r="Q641" s="459"/>
      <c r="R641" s="459"/>
      <c r="S641" s="459"/>
      <c r="T641" s="459"/>
      <c r="U641" s="459"/>
    </row>
    <row r="642" spans="1:21" ht="19.5" x14ac:dyDescent="0.3">
      <c r="A642" s="128"/>
      <c r="B642" s="158"/>
      <c r="C642" s="374" t="s">
        <v>18</v>
      </c>
      <c r="D642" s="549" t="s">
        <v>19</v>
      </c>
      <c r="E642" s="526"/>
      <c r="F642" s="526"/>
      <c r="G642" s="527"/>
      <c r="H642" s="221" t="s">
        <v>14</v>
      </c>
      <c r="I642" s="44"/>
      <c r="J642" s="44"/>
      <c r="K642" s="45"/>
      <c r="L642" s="548">
        <f>L643+L644</f>
        <v>0</v>
      </c>
      <c r="M642" s="547">
        <f>M643+M644</f>
        <v>0</v>
      </c>
      <c r="N642" s="547">
        <f>N643+N644</f>
        <v>0</v>
      </c>
      <c r="O642" s="547">
        <f>IF(L642&gt;0,N642*100/L642,0)</f>
        <v>0</v>
      </c>
      <c r="P642" s="547">
        <f>IF(M642&gt;0,N642*100/M642,0)</f>
        <v>0</v>
      </c>
      <c r="Q642" s="547">
        <f ca="1">Q643+Q644</f>
        <v>8760</v>
      </c>
      <c r="R642" s="547">
        <f ca="1">R643+R644</f>
        <v>8760</v>
      </c>
      <c r="S642" s="547">
        <f ca="1">S643+S644</f>
        <v>5575</v>
      </c>
      <c r="T642" s="547">
        <f ca="1">IF(Q642&gt;0,S642*100/Q642,0)</f>
        <v>63.641552511415526</v>
      </c>
      <c r="U642" s="547">
        <f ca="1">IF(R642&gt;0,S642*100/R642,0)</f>
        <v>63.641552511415526</v>
      </c>
    </row>
    <row r="643" spans="1:21" ht="18.75" hidden="1" x14ac:dyDescent="0.25">
      <c r="A643" s="128"/>
      <c r="B643" s="158"/>
      <c r="C643" s="158"/>
      <c r="D643" s="145"/>
      <c r="E643" s="156" t="s">
        <v>162</v>
      </c>
      <c r="F643" s="40"/>
      <c r="G643" s="42"/>
      <c r="H643" s="159" t="s">
        <v>14</v>
      </c>
      <c r="I643" s="44"/>
      <c r="J643" s="44"/>
      <c r="K643" s="45"/>
      <c r="L643" s="546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hidden="1" x14ac:dyDescent="0.25">
      <c r="A644" s="128"/>
      <c r="B644" s="158"/>
      <c r="C644" s="158"/>
      <c r="D644" s="145"/>
      <c r="E644" s="47" t="s">
        <v>163</v>
      </c>
      <c r="F644" s="40"/>
      <c r="G644" s="42"/>
      <c r="H644" s="134" t="s">
        <v>14</v>
      </c>
      <c r="I644" s="44"/>
      <c r="J644" s="44"/>
      <c r="K644" s="45"/>
      <c r="L644" s="545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8760</v>
      </c>
      <c r="R644" s="224">
        <f ca="1">R647+R650</f>
        <v>8760</v>
      </c>
      <c r="S644" s="224">
        <f ca="1">S647+S650</f>
        <v>5575</v>
      </c>
      <c r="T644" s="224">
        <f ca="1">IF(Q644&gt;0,S644*100/Q644,0)</f>
        <v>63.641552511415526</v>
      </c>
      <c r="U644" s="224">
        <f ca="1">IF(R644&gt;0,S644*100/R644,0)</f>
        <v>63.641552511415526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545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8760</v>
      </c>
      <c r="R645" s="224">
        <f ca="1">R646+R647</f>
        <v>8760</v>
      </c>
      <c r="S645" s="224">
        <f ca="1">S646+S647</f>
        <v>5575</v>
      </c>
      <c r="T645" s="224">
        <f ca="1">IF(Q645&gt;0,S645*100/Q645,0)</f>
        <v>63.641552511415526</v>
      </c>
      <c r="U645" s="224">
        <f ca="1">IF(R645&gt;0,S645*100/R645,0)</f>
        <v>63.641552511415526</v>
      </c>
    </row>
    <row r="646" spans="1:21" ht="18.75" hidden="1" x14ac:dyDescent="0.25">
      <c r="A646" s="128"/>
      <c r="B646" s="158"/>
      <c r="C646" s="158"/>
      <c r="D646" s="145"/>
      <c r="E646" s="156" t="s">
        <v>162</v>
      </c>
      <c r="F646" s="40"/>
      <c r="G646" s="42"/>
      <c r="H646" s="159" t="s">
        <v>14</v>
      </c>
      <c r="I646" s="44"/>
      <c r="J646" s="44"/>
      <c r="K646" s="45"/>
      <c r="L646" s="546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hidden="1" x14ac:dyDescent="0.25">
      <c r="A647" s="128"/>
      <c r="B647" s="158"/>
      <c r="C647" s="158"/>
      <c r="D647" s="145"/>
      <c r="E647" s="47" t="s">
        <v>163</v>
      </c>
      <c r="F647" s="40"/>
      <c r="G647" s="42"/>
      <c r="H647" s="134" t="s">
        <v>14</v>
      </c>
      <c r="I647" s="44"/>
      <c r="J647" s="44"/>
      <c r="K647" s="45"/>
      <c r="L647" s="545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IFERROR(__xludf.DUMMYFUNCTION("IMPORTRANGE(""https://docs.google.com/spreadsheets/d/1ItG2mGa2ceCfYo0BwxsXqNm01IGEUdYcSSLTEv9YCik/edit?usp=sharing"",""เบิกจ่ายกองทุน!I21"")"),8760)</f>
        <v>8760</v>
      </c>
      <c r="R647" s="224">
        <f ca="1">IFERROR(__xludf.DUMMYFUNCTION("IMPORTRANGE(""https://docs.google.com/spreadsheets/d/1ItG2mGa2ceCfYo0BwxsXqNm01IGEUdYcSSLTEv9YCik/edit?usp=sharing"",""เบิกจ่ายกองทุน!J21"")"),8760)</f>
        <v>8760</v>
      </c>
      <c r="S647" s="224">
        <f ca="1">IFERROR(__xludf.DUMMYFUNCTION("IMPORTRANGE(""https://docs.google.com/spreadsheets/d/1ItG2mGa2ceCfYo0BwxsXqNm01IGEUdYcSSLTEv9YCik/edit?usp=sharing"",""เบิกจ่ายกองทุน!K21"")"),5575)</f>
        <v>5575</v>
      </c>
      <c r="T647" s="224">
        <f ca="1">IF(Q647&gt;0,S647*100/Q647,0)</f>
        <v>63.641552511415526</v>
      </c>
      <c r="U647" s="224">
        <f ca="1">IF(R647&gt;0,S647*100/R647,0)</f>
        <v>63.641552511415526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545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hidden="1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546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hidden="1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545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374" t="s">
        <v>18</v>
      </c>
      <c r="D651" s="575" t="s">
        <v>38</v>
      </c>
      <c r="E651" s="141"/>
      <c r="F651" s="141"/>
      <c r="G651" s="142"/>
      <c r="H651" s="178"/>
      <c r="I651" s="135"/>
      <c r="J651" s="135"/>
      <c r="K651" s="136"/>
      <c r="L651" s="563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hidden="1" x14ac:dyDescent="0.25">
      <c r="A652" s="208"/>
      <c r="B652" s="158"/>
      <c r="C652" s="158"/>
      <c r="D652" s="47" t="s">
        <v>244</v>
      </c>
      <c r="E652" s="40"/>
      <c r="F652" s="40"/>
      <c r="G652" s="42"/>
      <c r="H652" s="137" t="s">
        <v>46</v>
      </c>
      <c r="I652" s="574">
        <f ca="1">IFERROR(__xludf.DUMMYFUNCTION("IMPORTRANGE(""https://docs.google.com/spreadsheets/d/1eHaY18a8A9IcSdp1K8H6x8fbOy06t2VsZHhMHf-1x7Y/edit?usp=sharing"",""แผน!IF21"")"),0)</f>
        <v>0</v>
      </c>
      <c r="J652" s="184">
        <f ca="1">IFERROR(__xludf.DUMMYFUNCTION("IMPORTRANGE(""https://docs.google.com/spreadsheets/d/1tdoBKaGub7dwA3U6UFTqxio9LNnvDCQjHKmttSEBsFQ/edit?usp=sharing"",""จัดที่ดิน!AU21"")"),0)</f>
        <v>0</v>
      </c>
      <c r="K652" s="224">
        <f ca="1">IF(I652&gt;0,J652*100/I652,0)</f>
        <v>0</v>
      </c>
      <c r="L652" s="543"/>
      <c r="M652" s="45"/>
      <c r="N652" s="467"/>
      <c r="O652" s="45"/>
      <c r="P652" s="45"/>
      <c r="Q652" s="45"/>
      <c r="R652" s="45"/>
      <c r="S652" s="467"/>
      <c r="T652" s="45"/>
      <c r="U652" s="45"/>
    </row>
    <row r="653" spans="1:21" ht="18.75" hidden="1" x14ac:dyDescent="0.25">
      <c r="A653" s="208"/>
      <c r="B653" s="158"/>
      <c r="C653" s="158"/>
      <c r="D653" s="47" t="s">
        <v>245</v>
      </c>
      <c r="E653" s="40"/>
      <c r="F653" s="40"/>
      <c r="G653" s="42"/>
      <c r="H653" s="137" t="s">
        <v>35</v>
      </c>
      <c r="I653" s="574">
        <f ca="1">IFERROR(__xludf.DUMMYFUNCTION("IMPORTRANGE(""https://docs.google.com/spreadsheets/d/1eHaY18a8A9IcSdp1K8H6x8fbOy06t2VsZHhMHf-1x7Y/edit?usp=sharing"",""แผน!IG21"")"),0)</f>
        <v>0</v>
      </c>
      <c r="J653" s="184">
        <f ca="1">IFERROR(__xludf.DUMMYFUNCTION("IMPORTRANGE(""https://docs.google.com/spreadsheets/d/1tdoBKaGub7dwA3U6UFTqxio9LNnvDCQjHKmttSEBsFQ/edit?usp=sharing"",""จัดที่ดิน!AW21"")"),0)</f>
        <v>0</v>
      </c>
      <c r="K653" s="224">
        <f ca="1">IF(I653&gt;0,J653*100/I653,0)</f>
        <v>0</v>
      </c>
      <c r="L653" s="543"/>
      <c r="M653" s="45"/>
      <c r="N653" s="467"/>
      <c r="O653" s="45"/>
      <c r="P653" s="45"/>
      <c r="Q653" s="45"/>
      <c r="R653" s="45"/>
      <c r="S653" s="467"/>
      <c r="T653" s="45"/>
      <c r="U653" s="45"/>
    </row>
    <row r="654" spans="1:21" ht="19.5" x14ac:dyDescent="0.3">
      <c r="A654" s="208"/>
      <c r="B654" s="158"/>
      <c r="C654" s="158"/>
      <c r="D654" s="47" t="s">
        <v>246</v>
      </c>
      <c r="E654" s="40"/>
      <c r="F654" s="40"/>
      <c r="G654" s="42"/>
      <c r="H654" s="462" t="s">
        <v>46</v>
      </c>
      <c r="I654" s="573">
        <f ca="1">IFERROR(__xludf.DUMMYFUNCTION("IMPORTRANGE(""https://docs.google.com/spreadsheets/d/1eHaY18a8A9IcSdp1K8H6x8fbOy06t2VsZHhMHf-1x7Y/edit?usp=sharing"",""แผน!IH21"")"),30)</f>
        <v>30</v>
      </c>
      <c r="J654" s="338">
        <f>J657+J660</f>
        <v>110.4</v>
      </c>
      <c r="K654" s="547">
        <f ca="1">IF(I654&gt;0,J654*100/I654,0)</f>
        <v>368</v>
      </c>
      <c r="L654" s="543"/>
      <c r="M654" s="45"/>
      <c r="N654" s="467"/>
      <c r="O654" s="45"/>
      <c r="P654" s="45"/>
      <c r="Q654" s="45"/>
      <c r="R654" s="45"/>
      <c r="S654" s="467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247</v>
      </c>
      <c r="F655" s="40"/>
      <c r="G655" s="42"/>
      <c r="H655" s="137" t="s">
        <v>35</v>
      </c>
      <c r="I655" s="180"/>
      <c r="J655" s="380">
        <v>1</v>
      </c>
      <c r="K655" s="45"/>
      <c r="L655" s="543"/>
      <c r="M655" s="45"/>
      <c r="N655" s="467"/>
      <c r="O655" s="45"/>
      <c r="P655" s="45"/>
      <c r="Q655" s="45"/>
      <c r="R655" s="45"/>
      <c r="S655" s="467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380">
        <v>1</v>
      </c>
      <c r="K656" s="45"/>
      <c r="L656" s="543"/>
      <c r="M656" s="45"/>
      <c r="N656" s="467"/>
      <c r="O656" s="45"/>
      <c r="P656" s="45"/>
      <c r="Q656" s="45"/>
      <c r="R656" s="45"/>
      <c r="S656" s="467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574">
        <f ca="1">IFERROR(__xludf.DUMMYFUNCTION("IMPORTRANGE(""https://docs.google.com/spreadsheets/d/1eHaY18a8A9IcSdp1K8H6x8fbOy06t2VsZHhMHf-1x7Y/edit?usp=sharing"",""แผน!II21"")"),10)</f>
        <v>10</v>
      </c>
      <c r="J657" s="380">
        <v>15</v>
      </c>
      <c r="K657" s="45"/>
      <c r="L657" s="543"/>
      <c r="M657" s="45"/>
      <c r="N657" s="467"/>
      <c r="O657" s="45"/>
      <c r="P657" s="45"/>
      <c r="Q657" s="45"/>
      <c r="R657" s="45"/>
      <c r="S657" s="467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248</v>
      </c>
      <c r="F658" s="40"/>
      <c r="G658" s="42"/>
      <c r="H658" s="137" t="s">
        <v>35</v>
      </c>
      <c r="I658" s="180"/>
      <c r="J658" s="380">
        <v>5</v>
      </c>
      <c r="K658" s="45"/>
      <c r="L658" s="543"/>
      <c r="M658" s="45"/>
      <c r="N658" s="467"/>
      <c r="O658" s="45"/>
      <c r="P658" s="45"/>
      <c r="Q658" s="45"/>
      <c r="R658" s="45"/>
      <c r="S658" s="467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380">
        <v>5</v>
      </c>
      <c r="K659" s="45"/>
      <c r="L659" s="543"/>
      <c r="M659" s="45"/>
      <c r="N659" s="467"/>
      <c r="O659" s="45"/>
      <c r="P659" s="45"/>
      <c r="Q659" s="45"/>
      <c r="R659" s="45"/>
      <c r="S659" s="467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574">
        <f ca="1">IFERROR(__xludf.DUMMYFUNCTION("IMPORTRANGE(""https://docs.google.com/spreadsheets/d/1eHaY18a8A9IcSdp1K8H6x8fbOy06t2VsZHhMHf-1x7Y/edit?usp=sharing"",""แผน!IJ21"")"),20)</f>
        <v>20</v>
      </c>
      <c r="J660" s="916">
        <v>95.4</v>
      </c>
      <c r="K660" s="45"/>
      <c r="L660" s="543"/>
      <c r="M660" s="45"/>
      <c r="N660" s="467"/>
      <c r="O660" s="45"/>
      <c r="P660" s="45"/>
      <c r="Q660" s="45"/>
      <c r="R660" s="45"/>
      <c r="S660" s="467"/>
      <c r="T660" s="45"/>
      <c r="U660" s="45"/>
    </row>
    <row r="661" spans="1:21" ht="19.5" x14ac:dyDescent="0.3">
      <c r="A661" s="208"/>
      <c r="B661" s="158"/>
      <c r="C661" s="158"/>
      <c r="D661" s="342" t="s">
        <v>249</v>
      </c>
      <c r="E661" s="40"/>
      <c r="F661" s="40"/>
      <c r="G661" s="42"/>
      <c r="H661" s="462" t="s">
        <v>46</v>
      </c>
      <c r="I661" s="573">
        <f ca="1">IFERROR(__xludf.DUMMYFUNCTION("IMPORTRANGE(""https://docs.google.com/spreadsheets/d/1eHaY18a8A9IcSdp1K8H6x8fbOy06t2VsZHhMHf-1x7Y/edit?usp=sharing"",""แผน!IK21"")"),19)</f>
        <v>19</v>
      </c>
      <c r="J661" s="338">
        <f>J667+J670</f>
        <v>0</v>
      </c>
      <c r="K661" s="547">
        <f ca="1">IF(I661&gt;0,J661*100/I661,0)</f>
        <v>0</v>
      </c>
      <c r="L661" s="543"/>
      <c r="M661" s="45"/>
      <c r="N661" s="467"/>
      <c r="O661" s="45"/>
      <c r="P661" s="45"/>
      <c r="Q661" s="45"/>
      <c r="R661" s="45"/>
      <c r="S661" s="467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250</v>
      </c>
      <c r="F662" s="40"/>
      <c r="G662" s="42"/>
      <c r="H662" s="137" t="s">
        <v>34</v>
      </c>
      <c r="I662" s="180"/>
      <c r="J662" s="380">
        <v>0</v>
      </c>
      <c r="K662" s="45"/>
      <c r="L662" s="572"/>
      <c r="M662" s="45"/>
      <c r="N662" s="467"/>
      <c r="O662" s="45"/>
      <c r="P662" s="45"/>
      <c r="Q662" s="467"/>
      <c r="R662" s="45"/>
      <c r="S662" s="467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380">
        <v>0</v>
      </c>
      <c r="K663" s="45"/>
      <c r="L663" s="572"/>
      <c r="M663" s="45"/>
      <c r="N663" s="467"/>
      <c r="O663" s="45"/>
      <c r="P663" s="45"/>
      <c r="Q663" s="467"/>
      <c r="R663" s="45"/>
      <c r="S663" s="467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251</v>
      </c>
      <c r="F664" s="40"/>
      <c r="G664" s="42"/>
      <c r="H664" s="178"/>
      <c r="I664" s="180"/>
      <c r="J664" s="44"/>
      <c r="K664" s="45"/>
      <c r="L664" s="572"/>
      <c r="M664" s="45"/>
      <c r="N664" s="467"/>
      <c r="O664" s="45"/>
      <c r="P664" s="45"/>
      <c r="Q664" s="467"/>
      <c r="R664" s="45"/>
      <c r="S664" s="467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252</v>
      </c>
      <c r="G665" s="42"/>
      <c r="H665" s="137" t="s">
        <v>35</v>
      </c>
      <c r="I665" s="180"/>
      <c r="J665" s="380">
        <v>0</v>
      </c>
      <c r="K665" s="45"/>
      <c r="L665" s="572"/>
      <c r="M665" s="45"/>
      <c r="N665" s="467"/>
      <c r="O665" s="45"/>
      <c r="P665" s="45"/>
      <c r="Q665" s="467"/>
      <c r="R665" s="45"/>
      <c r="S665" s="467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380">
        <v>0</v>
      </c>
      <c r="K666" s="45"/>
      <c r="L666" s="572"/>
      <c r="M666" s="45"/>
      <c r="N666" s="467"/>
      <c r="O666" s="45"/>
      <c r="P666" s="45"/>
      <c r="Q666" s="467"/>
      <c r="R666" s="45"/>
      <c r="S666" s="467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380">
        <v>0</v>
      </c>
      <c r="K667" s="45"/>
      <c r="L667" s="572"/>
      <c r="M667" s="45"/>
      <c r="N667" s="467"/>
      <c r="O667" s="45"/>
      <c r="P667" s="45"/>
      <c r="Q667" s="467"/>
      <c r="R667" s="45"/>
      <c r="S667" s="467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253</v>
      </c>
      <c r="G668" s="42"/>
      <c r="H668" s="137" t="s">
        <v>35</v>
      </c>
      <c r="I668" s="180"/>
      <c r="J668" s="380">
        <v>0</v>
      </c>
      <c r="K668" s="45"/>
      <c r="L668" s="572"/>
      <c r="M668" s="45"/>
      <c r="N668" s="467"/>
      <c r="O668" s="45"/>
      <c r="P668" s="45"/>
      <c r="Q668" s="467"/>
      <c r="R668" s="45"/>
      <c r="S668" s="467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380">
        <v>0</v>
      </c>
      <c r="K669" s="45"/>
      <c r="L669" s="572"/>
      <c r="M669" s="45"/>
      <c r="N669" s="467"/>
      <c r="O669" s="45"/>
      <c r="P669" s="45"/>
      <c r="Q669" s="467"/>
      <c r="R669" s="45"/>
      <c r="S669" s="467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380">
        <v>0</v>
      </c>
      <c r="K670" s="45"/>
      <c r="L670" s="572"/>
      <c r="M670" s="45"/>
      <c r="N670" s="467"/>
      <c r="O670" s="45"/>
      <c r="P670" s="45"/>
      <c r="Q670" s="467"/>
      <c r="R670" s="45"/>
      <c r="S670" s="467"/>
      <c r="T670" s="45"/>
      <c r="U670" s="45"/>
    </row>
    <row r="671" spans="1:21" ht="18.75" x14ac:dyDescent="0.25">
      <c r="A671" s="208"/>
      <c r="B671" s="158"/>
      <c r="C671" s="158"/>
      <c r="D671" s="47" t="s">
        <v>254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IFERROR(__xludf.DUMMYFUNCTION("IMPORTRANGE(""https://docs.google.com/spreadsheets/d/1tdoBKaGub7dwA3U6UFTqxio9LNnvDCQjHKmttSEBsFQ/edit?usp=sharing"",""จัดที่ดิน!AY21"")"),0)</f>
        <v>0</v>
      </c>
      <c r="K671" s="45"/>
      <c r="L671" s="543"/>
      <c r="M671" s="45"/>
      <c r="N671" s="467"/>
      <c r="O671" s="45"/>
      <c r="P671" s="45"/>
      <c r="Q671" s="45"/>
      <c r="R671" s="45"/>
      <c r="S671" s="467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IFERROR(__xludf.DUMMYFUNCTION("IMPORTRANGE(""https://docs.google.com/spreadsheets/d/1tdoBKaGub7dwA3U6UFTqxio9LNnvDCQjHKmttSEBsFQ/edit?usp=sharing"",""จัดที่ดิน!AZ21"")"),0)</f>
        <v>0</v>
      </c>
      <c r="K672" s="45"/>
      <c r="L672" s="572"/>
      <c r="M672" s="45"/>
      <c r="N672" s="467"/>
      <c r="O672" s="45"/>
      <c r="P672" s="45"/>
      <c r="Q672" s="467"/>
      <c r="R672" s="45"/>
      <c r="S672" s="467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574">
        <f ca="1">IFERROR(__xludf.DUMMYFUNCTION("IMPORTRANGE(""https://docs.google.com/spreadsheets/d/1eHaY18a8A9IcSdp1K8H6x8fbOy06t2VsZHhMHf-1x7Y/edit?usp=sharing"",""แผน!IL21"")"),20)</f>
        <v>20</v>
      </c>
      <c r="J673" s="184">
        <f ca="1">IFERROR(__xludf.DUMMYFUNCTION("IMPORTRANGE(""https://docs.google.com/spreadsheets/d/1tdoBKaGub7dwA3U6UFTqxio9LNnvDCQjHKmttSEBsFQ/edit?usp=sharing"",""จัดที่ดิน!BA21"")"),0)</f>
        <v>0</v>
      </c>
      <c r="K673" s="224">
        <f ca="1">IF(I673&gt;0,J673*100/I673,0)</f>
        <v>0</v>
      </c>
      <c r="L673" s="572"/>
      <c r="M673" s="45"/>
      <c r="N673" s="467"/>
      <c r="O673" s="45"/>
      <c r="P673" s="45"/>
      <c r="Q673" s="467"/>
      <c r="R673" s="45"/>
      <c r="S673" s="467"/>
      <c r="T673" s="45"/>
      <c r="U673" s="45"/>
    </row>
    <row r="674" spans="1:21" ht="19.5" x14ac:dyDescent="0.3">
      <c r="A674" s="208"/>
      <c r="B674" s="158"/>
      <c r="C674" s="158"/>
      <c r="D674" s="47" t="s">
        <v>255</v>
      </c>
      <c r="E674" s="40"/>
      <c r="F674" s="40"/>
      <c r="G674" s="42"/>
      <c r="H674" s="462" t="s">
        <v>35</v>
      </c>
      <c r="I674" s="573">
        <f ca="1">IFERROR(__xludf.DUMMYFUNCTION("IMPORTRANGE(""https://docs.google.com/spreadsheets/d/1eHaY18a8A9IcSdp1K8H6x8fbOy06t2VsZHhMHf-1x7Y/edit?usp=sharing"",""แผน!IM21"")"),10)</f>
        <v>10</v>
      </c>
      <c r="J674" s="338">
        <f ca="1">J676+J679</f>
        <v>5</v>
      </c>
      <c r="K674" s="547">
        <f ca="1">IF(I674&gt;0,J674*100/I674,0)</f>
        <v>50</v>
      </c>
      <c r="L674" s="572"/>
      <c r="M674" s="45"/>
      <c r="N674" s="467"/>
      <c r="O674" s="45"/>
      <c r="P674" s="45"/>
      <c r="Q674" s="467"/>
      <c r="R674" s="45"/>
      <c r="S674" s="467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62" t="s">
        <v>46</v>
      </c>
      <c r="I675" s="573">
        <f ca="1">IFERROR(__xludf.DUMMYFUNCTION("IMPORTRANGE(""https://docs.google.com/spreadsheets/d/1eHaY18a8A9IcSdp1K8H6x8fbOy06t2VsZHhMHf-1x7Y/edit?usp=sharing"",""แผน!IN21"")"),100)</f>
        <v>100</v>
      </c>
      <c r="J675" s="338">
        <f ca="1">J678+J681</f>
        <v>116.54</v>
      </c>
      <c r="K675" s="547">
        <f ca="1">IF(I675&gt;0,J675*100/I675,0)</f>
        <v>116.54</v>
      </c>
      <c r="L675" s="543"/>
      <c r="M675" s="45"/>
      <c r="N675" s="467"/>
      <c r="O675" s="45"/>
      <c r="P675" s="45"/>
      <c r="Q675" s="45"/>
      <c r="R675" s="45"/>
      <c r="S675" s="467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256</v>
      </c>
      <c r="F676" s="40"/>
      <c r="G676" s="42"/>
      <c r="H676" s="137" t="s">
        <v>35</v>
      </c>
      <c r="I676" s="574">
        <f ca="1">IFERROR(__xludf.DUMMYFUNCTION("IMPORTRANGE(""https://docs.google.com/spreadsheets/d/1eHaY18a8A9IcSdp1K8H6x8fbOy06t2VsZHhMHf-1x7Y/edit?usp=sharing"",""แผน!IO21"")"),6)</f>
        <v>6</v>
      </c>
      <c r="J676" s="184">
        <f ca="1">IFERROR(__xludf.DUMMYFUNCTION("IMPORTRANGE(""https://docs.google.com/spreadsheets/d/1tdoBKaGub7dwA3U6UFTqxio9LNnvDCQjHKmttSEBsFQ/edit?usp=sharing"",""จัดที่ดิน!BF21"")"),5)</f>
        <v>5</v>
      </c>
      <c r="K676" s="224">
        <f ca="1">IF(I676&gt;0,J676*100/I676,0)</f>
        <v>83.333333333333329</v>
      </c>
      <c r="L676" s="543"/>
      <c r="M676" s="45"/>
      <c r="N676" s="467"/>
      <c r="O676" s="45"/>
      <c r="P676" s="45"/>
      <c r="Q676" s="45"/>
      <c r="R676" s="45"/>
      <c r="S676" s="467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IFERROR(__xludf.DUMMYFUNCTION("IMPORTRANGE(""https://docs.google.com/spreadsheets/d/1tdoBKaGub7dwA3U6UFTqxio9LNnvDCQjHKmttSEBsFQ/edit?usp=sharing"",""จัดที่ดิน!BG21"")"),6)</f>
        <v>6</v>
      </c>
      <c r="K677" s="45"/>
      <c r="L677" s="572"/>
      <c r="M677" s="45"/>
      <c r="N677" s="467"/>
      <c r="O677" s="45"/>
      <c r="P677" s="45"/>
      <c r="Q677" s="467"/>
      <c r="R677" s="45"/>
      <c r="S677" s="467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574">
        <f ca="1">IFERROR(__xludf.DUMMYFUNCTION("IMPORTRANGE(""https://docs.google.com/spreadsheets/d/1eHaY18a8A9IcSdp1K8H6x8fbOy06t2VsZHhMHf-1x7Y/edit?usp=sharing"",""แผน!IP21"")"),60)</f>
        <v>60</v>
      </c>
      <c r="J678" s="184">
        <f ca="1">IFERROR(__xludf.DUMMYFUNCTION("IMPORTRANGE(""https://docs.google.com/spreadsheets/d/1tdoBKaGub7dwA3U6UFTqxio9LNnvDCQjHKmttSEBsFQ/edit?usp=sharing"",""จัดที่ดิน!BH21"")"),116.54)</f>
        <v>116.54</v>
      </c>
      <c r="K678" s="224">
        <f ca="1">IF(I678&gt;0,J678*100/I678,0)</f>
        <v>194.23333333333332</v>
      </c>
      <c r="L678" s="572"/>
      <c r="M678" s="45"/>
      <c r="N678" s="467"/>
      <c r="O678" s="45"/>
      <c r="P678" s="45"/>
      <c r="Q678" s="467"/>
      <c r="R678" s="45"/>
      <c r="S678" s="467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257</v>
      </c>
      <c r="F679" s="40"/>
      <c r="G679" s="42"/>
      <c r="H679" s="137" t="s">
        <v>35</v>
      </c>
      <c r="I679" s="574">
        <f ca="1">IFERROR(__xludf.DUMMYFUNCTION("IMPORTRANGE(""https://docs.google.com/spreadsheets/d/1eHaY18a8A9IcSdp1K8H6x8fbOy06t2VsZHhMHf-1x7Y/edit?usp=sharing"",""แผน!IQ21"")"),4)</f>
        <v>4</v>
      </c>
      <c r="J679" s="184">
        <f ca="1">IFERROR(__xludf.DUMMYFUNCTION("IMPORTRANGE(""https://docs.google.com/spreadsheets/d/1tdoBKaGub7dwA3U6UFTqxio9LNnvDCQjHKmttSEBsFQ/edit?usp=sharing"",""จัดที่ดิน!BK21"")"),0)</f>
        <v>0</v>
      </c>
      <c r="K679" s="224">
        <f ca="1">IF(I679&gt;0,J679*100/I679,0)</f>
        <v>0</v>
      </c>
      <c r="L679" s="543"/>
      <c r="M679" s="45"/>
      <c r="N679" s="467"/>
      <c r="O679" s="45"/>
      <c r="P679" s="45"/>
      <c r="Q679" s="45"/>
      <c r="R679" s="45"/>
      <c r="S679" s="467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IFERROR(__xludf.DUMMYFUNCTION("IMPORTRANGE(""https://docs.google.com/spreadsheets/d/1tdoBKaGub7dwA3U6UFTqxio9LNnvDCQjHKmttSEBsFQ/edit?usp=sharing"",""จัดที่ดิน!BL21"")"),0)</f>
        <v>0</v>
      </c>
      <c r="K680" s="45"/>
      <c r="L680" s="572"/>
      <c r="M680" s="45"/>
      <c r="N680" s="467"/>
      <c r="O680" s="45"/>
      <c r="P680" s="45"/>
      <c r="Q680" s="467"/>
      <c r="R680" s="45"/>
      <c r="S680" s="467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574">
        <f ca="1">IFERROR(__xludf.DUMMYFUNCTION("IMPORTRANGE(""https://docs.google.com/spreadsheets/d/1eHaY18a8A9IcSdp1K8H6x8fbOy06t2VsZHhMHf-1x7Y/edit?usp=sharing"",""แผน!IR21"")"),40)</f>
        <v>40</v>
      </c>
      <c r="J681" s="184">
        <f ca="1">IFERROR(__xludf.DUMMYFUNCTION("IMPORTRANGE(""https://docs.google.com/spreadsheets/d/1tdoBKaGub7dwA3U6UFTqxio9LNnvDCQjHKmttSEBsFQ/edit?usp=sharing"",""จัดที่ดิน!BM21"")"),0)</f>
        <v>0</v>
      </c>
      <c r="K681" s="224">
        <f ca="1">IF(I681&gt;0,J681*100/I681,0)</f>
        <v>0</v>
      </c>
      <c r="L681" s="572"/>
      <c r="M681" s="45"/>
      <c r="N681" s="467"/>
      <c r="O681" s="45"/>
      <c r="P681" s="45"/>
      <c r="Q681" s="467"/>
      <c r="R681" s="45"/>
      <c r="S681" s="467"/>
      <c r="T681" s="45"/>
      <c r="U681" s="45"/>
    </row>
    <row r="682" spans="1:21" ht="19.5" hidden="1" x14ac:dyDescent="0.3">
      <c r="A682" s="208"/>
      <c r="B682" s="158"/>
      <c r="C682" s="158"/>
      <c r="D682" s="47" t="s">
        <v>258</v>
      </c>
      <c r="E682" s="40"/>
      <c r="F682" s="40"/>
      <c r="G682" s="42"/>
      <c r="H682" s="462" t="s">
        <v>46</v>
      </c>
      <c r="I682" s="573">
        <f ca="1">IFERROR(__xludf.DUMMYFUNCTION("IMPORTRANGE(""https://docs.google.com/spreadsheets/d/1eHaY18a8A9IcSdp1K8H6x8fbOy06t2VsZHhMHf-1x7Y/edit?usp=sharing"",""แผน!IS21"")"),0)</f>
        <v>0</v>
      </c>
      <c r="J682" s="338">
        <f>J685+J688</f>
        <v>0</v>
      </c>
      <c r="K682" s="547">
        <f ca="1">IF(I682&gt;0,J682*100/I682,0)</f>
        <v>0</v>
      </c>
      <c r="L682" s="543"/>
      <c r="M682" s="45"/>
      <c r="N682" s="467"/>
      <c r="O682" s="45"/>
      <c r="P682" s="45"/>
      <c r="Q682" s="45"/>
      <c r="R682" s="45"/>
      <c r="S682" s="467"/>
      <c r="T682" s="45"/>
      <c r="U682" s="45"/>
    </row>
    <row r="683" spans="1:21" ht="18.75" hidden="1" x14ac:dyDescent="0.25">
      <c r="A683" s="208"/>
      <c r="B683" s="158"/>
      <c r="C683" s="158"/>
      <c r="D683" s="40"/>
      <c r="E683" s="47" t="s">
        <v>259</v>
      </c>
      <c r="F683" s="40"/>
      <c r="G683" s="42"/>
      <c r="H683" s="137" t="s">
        <v>35</v>
      </c>
      <c r="I683" s="180"/>
      <c r="J683" s="380">
        <v>0</v>
      </c>
      <c r="K683" s="45"/>
      <c r="L683" s="572"/>
      <c r="M683" s="45"/>
      <c r="N683" s="467"/>
      <c r="O683" s="45"/>
      <c r="P683" s="45"/>
      <c r="Q683" s="467"/>
      <c r="R683" s="45"/>
      <c r="S683" s="467"/>
      <c r="T683" s="45"/>
      <c r="U683" s="45"/>
    </row>
    <row r="684" spans="1:21" ht="18.75" hidden="1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380">
        <v>0</v>
      </c>
      <c r="K684" s="45"/>
      <c r="L684" s="572"/>
      <c r="M684" s="45"/>
      <c r="N684" s="467"/>
      <c r="O684" s="45"/>
      <c r="P684" s="45"/>
      <c r="Q684" s="467"/>
      <c r="R684" s="45"/>
      <c r="S684" s="467"/>
      <c r="T684" s="45"/>
      <c r="U684" s="45"/>
    </row>
    <row r="685" spans="1:21" ht="18.75" hidden="1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380">
        <v>0</v>
      </c>
      <c r="K685" s="45"/>
      <c r="L685" s="572"/>
      <c r="M685" s="45"/>
      <c r="N685" s="467"/>
      <c r="O685" s="45"/>
      <c r="P685" s="45"/>
      <c r="Q685" s="467"/>
      <c r="R685" s="45"/>
      <c r="S685" s="467"/>
      <c r="T685" s="45"/>
      <c r="U685" s="45"/>
    </row>
    <row r="686" spans="1:21" ht="18.75" hidden="1" x14ac:dyDescent="0.25">
      <c r="A686" s="208"/>
      <c r="B686" s="158"/>
      <c r="C686" s="158"/>
      <c r="D686" s="40"/>
      <c r="E686" s="47" t="s">
        <v>260</v>
      </c>
      <c r="F686" s="40"/>
      <c r="G686" s="42"/>
      <c r="H686" s="137" t="s">
        <v>35</v>
      </c>
      <c r="I686" s="180"/>
      <c r="J686" s="380">
        <v>0</v>
      </c>
      <c r="K686" s="45"/>
      <c r="L686" s="572"/>
      <c r="M686" s="45"/>
      <c r="N686" s="467"/>
      <c r="O686" s="45"/>
      <c r="P686" s="45"/>
      <c r="Q686" s="467"/>
      <c r="R686" s="45"/>
      <c r="S686" s="467"/>
      <c r="T686" s="45"/>
      <c r="U686" s="45"/>
    </row>
    <row r="687" spans="1:21" ht="18.75" hidden="1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380">
        <v>0</v>
      </c>
      <c r="K687" s="45"/>
      <c r="L687" s="572"/>
      <c r="M687" s="45"/>
      <c r="N687" s="467"/>
      <c r="O687" s="45"/>
      <c r="P687" s="45"/>
      <c r="Q687" s="467"/>
      <c r="R687" s="45"/>
      <c r="S687" s="467"/>
      <c r="T687" s="45"/>
      <c r="U687" s="45"/>
    </row>
    <row r="688" spans="1:21" ht="19.5" hidden="1" x14ac:dyDescent="0.3">
      <c r="A688" s="249"/>
      <c r="B688" s="470" t="s">
        <v>261</v>
      </c>
      <c r="C688" s="250"/>
      <c r="D688" s="252"/>
      <c r="E688" s="252"/>
      <c r="F688" s="252"/>
      <c r="G688" s="253"/>
      <c r="H688" s="186" t="s">
        <v>46</v>
      </c>
      <c r="I688" s="340"/>
      <c r="J688" s="542">
        <v>0</v>
      </c>
      <c r="K688" s="3"/>
      <c r="L688" s="571"/>
      <c r="M688" s="3"/>
      <c r="N688" s="471"/>
      <c r="O688" s="3"/>
      <c r="P688" s="3"/>
      <c r="Q688" s="471"/>
      <c r="R688" s="3"/>
      <c r="S688" s="471"/>
      <c r="T688" s="3"/>
      <c r="U688" s="3"/>
    </row>
    <row r="689" spans="1:21" ht="19.5" x14ac:dyDescent="0.3">
      <c r="A689" s="489"/>
      <c r="B689" s="446" t="s">
        <v>262</v>
      </c>
      <c r="C689" s="445"/>
      <c r="D689" s="447"/>
      <c r="E689" s="447"/>
      <c r="F689" s="447"/>
      <c r="G689" s="448"/>
      <c r="H689" s="472" t="s">
        <v>35</v>
      </c>
      <c r="I689" s="552">
        <f ca="1">I707</f>
        <v>90</v>
      </c>
      <c r="J689" s="552">
        <f ca="1">J707</f>
        <v>114</v>
      </c>
      <c r="K689" s="551">
        <f ca="1">IF(I689&gt;0,J689*100/I689,0)</f>
        <v>126.66666666666667</v>
      </c>
      <c r="L689" s="550"/>
      <c r="M689" s="451"/>
      <c r="N689" s="451"/>
      <c r="O689" s="451"/>
      <c r="P689" s="451"/>
      <c r="Q689" s="451"/>
      <c r="R689" s="451"/>
      <c r="S689" s="451"/>
      <c r="T689" s="451"/>
      <c r="U689" s="451"/>
    </row>
    <row r="690" spans="1:21" ht="19.5" x14ac:dyDescent="0.3">
      <c r="A690" s="128"/>
      <c r="B690" s="158"/>
      <c r="C690" s="374" t="s">
        <v>18</v>
      </c>
      <c r="D690" s="549" t="s">
        <v>19</v>
      </c>
      <c r="E690" s="526"/>
      <c r="F690" s="526"/>
      <c r="G690" s="527"/>
      <c r="H690" s="221" t="s">
        <v>14</v>
      </c>
      <c r="I690" s="44"/>
      <c r="J690" s="44"/>
      <c r="K690" s="45"/>
      <c r="L690" s="548">
        <f>L691+L692</f>
        <v>0</v>
      </c>
      <c r="M690" s="547">
        <f>M691+M692</f>
        <v>0</v>
      </c>
      <c r="N690" s="547">
        <f>N691+N692</f>
        <v>0</v>
      </c>
      <c r="O690" s="547">
        <f>IF(L690&gt;0,N690*100/L690,0)</f>
        <v>0</v>
      </c>
      <c r="P690" s="547">
        <f>IF(M690&gt;0,N690*100/M690,0)</f>
        <v>0</v>
      </c>
      <c r="Q690" s="547">
        <f ca="1">Q691+Q692</f>
        <v>198670</v>
      </c>
      <c r="R690" s="547">
        <f ca="1">R691+R692</f>
        <v>198670</v>
      </c>
      <c r="S690" s="547">
        <f ca="1">S691+S692</f>
        <v>150049</v>
      </c>
      <c r="T690" s="547">
        <f ca="1">IF(Q690&gt;0,S690*100/Q690,0)</f>
        <v>75.526752906830424</v>
      </c>
      <c r="U690" s="547">
        <f ca="1">IF(R690&gt;0,S690*100/R690,0)</f>
        <v>75.526752906830424</v>
      </c>
    </row>
    <row r="691" spans="1:21" ht="18.75" hidden="1" x14ac:dyDescent="0.25">
      <c r="A691" s="128"/>
      <c r="B691" s="158"/>
      <c r="C691" s="158"/>
      <c r="D691" s="145"/>
      <c r="E691" s="156" t="s">
        <v>162</v>
      </c>
      <c r="F691" s="40"/>
      <c r="G691" s="42"/>
      <c r="H691" s="159" t="s">
        <v>14</v>
      </c>
      <c r="I691" s="44"/>
      <c r="J691" s="44"/>
      <c r="K691" s="45"/>
      <c r="L691" s="546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hidden="1" x14ac:dyDescent="0.25">
      <c r="A692" s="128"/>
      <c r="B692" s="158"/>
      <c r="C692" s="158"/>
      <c r="D692" s="145"/>
      <c r="E692" s="47" t="s">
        <v>163</v>
      </c>
      <c r="F692" s="40"/>
      <c r="G692" s="42"/>
      <c r="H692" s="134" t="s">
        <v>14</v>
      </c>
      <c r="I692" s="44"/>
      <c r="J692" s="44"/>
      <c r="K692" s="45"/>
      <c r="L692" s="545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198670</v>
      </c>
      <c r="R692" s="224">
        <f ca="1">R695+R698</f>
        <v>198670</v>
      </c>
      <c r="S692" s="224">
        <f ca="1">S695+S698</f>
        <v>150049</v>
      </c>
      <c r="T692" s="224">
        <f ca="1">IF(Q692&gt;0,S692*100/Q692,0)</f>
        <v>75.526752906830424</v>
      </c>
      <c r="U692" s="224">
        <f ca="1">IF(R692&gt;0,S692*100/R692,0)</f>
        <v>75.526752906830424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545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198670</v>
      </c>
      <c r="R693" s="224">
        <f ca="1">R694+R695</f>
        <v>198670</v>
      </c>
      <c r="S693" s="224">
        <f ca="1">S694+S695</f>
        <v>150049</v>
      </c>
      <c r="T693" s="224">
        <f ca="1">IF(Q693&gt;0,S693*100/Q693,0)</f>
        <v>75.526752906830424</v>
      </c>
      <c r="U693" s="224">
        <f ca="1">IF(R693&gt;0,S693*100/R693,0)</f>
        <v>75.526752906830424</v>
      </c>
    </row>
    <row r="694" spans="1:21" ht="18.75" hidden="1" x14ac:dyDescent="0.25">
      <c r="A694" s="128"/>
      <c r="B694" s="158"/>
      <c r="C694" s="158"/>
      <c r="D694" s="145"/>
      <c r="E694" s="156" t="s">
        <v>162</v>
      </c>
      <c r="F694" s="40"/>
      <c r="G694" s="42"/>
      <c r="H694" s="159" t="s">
        <v>14</v>
      </c>
      <c r="I694" s="44"/>
      <c r="J694" s="44"/>
      <c r="K694" s="45"/>
      <c r="L694" s="546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hidden="1" x14ac:dyDescent="0.25">
      <c r="A695" s="128"/>
      <c r="B695" s="158"/>
      <c r="C695" s="158"/>
      <c r="D695" s="145"/>
      <c r="E695" s="47" t="s">
        <v>163</v>
      </c>
      <c r="F695" s="40"/>
      <c r="G695" s="42"/>
      <c r="H695" s="134" t="s">
        <v>14</v>
      </c>
      <c r="I695" s="44"/>
      <c r="J695" s="44"/>
      <c r="K695" s="45"/>
      <c r="L695" s="545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5" s="224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5" s="224">
        <f ca="1">IFERROR(__xludf.DUMMYFUNCTION("IMPORTRANGE(""https://docs.google.com/spreadsheets/d/1ItG2mGa2ceCfYo0BwxsXqNm01IGEUdYcSSLTEv9YCik/edit?usp=sharing"",""เบิกจ่ายกองทุน!N21"")"),150049)</f>
        <v>150049</v>
      </c>
      <c r="T695" s="224">
        <f ca="1">IF(Q695&gt;0,S695*100/Q695,0)</f>
        <v>75.526752906830424</v>
      </c>
      <c r="U695" s="224">
        <f ca="1">IF(R695&gt;0,S695*100/R695,0)</f>
        <v>75.526752906830424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545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hidden="1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546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hidden="1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545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374" t="s">
        <v>18</v>
      </c>
      <c r="D699" s="570" t="s">
        <v>38</v>
      </c>
      <c r="E699" s="141"/>
      <c r="F699" s="141"/>
      <c r="G699" s="141"/>
      <c r="H699" s="178"/>
      <c r="I699" s="135"/>
      <c r="J699" s="135"/>
      <c r="K699" s="136"/>
      <c r="L699" s="543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263</v>
      </c>
      <c r="F700" s="145"/>
      <c r="G700" s="143"/>
      <c r="H700" s="137" t="s">
        <v>264</v>
      </c>
      <c r="I700" s="184">
        <f ca="1">IFERROR(__xludf.DUMMYFUNCTION("IMPORTRANGE(""https://docs.google.com/spreadsheets/d/1eHaY18a8A9IcSdp1K8H6x8fbOy06t2VsZHhMHf-1x7Y/edit?usp=sharing"",""แผน!LC21"")"),0)</f>
        <v>0</v>
      </c>
      <c r="J700" s="380">
        <v>0</v>
      </c>
      <c r="K700" s="569">
        <f ca="1">IF(I700&gt;0,J700*100/I700,0)</f>
        <v>0</v>
      </c>
      <c r="L700" s="563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75" t="s">
        <v>265</v>
      </c>
      <c r="F701" s="145"/>
      <c r="G701" s="143"/>
      <c r="H701" s="131" t="s">
        <v>35</v>
      </c>
      <c r="I701" s="338">
        <f ca="1">I703+I705</f>
        <v>94</v>
      </c>
      <c r="J701" s="338">
        <f ca="1">J703+J705</f>
        <v>134</v>
      </c>
      <c r="K701" s="547">
        <f ca="1">IF(I701&gt;0,J701*100/I701,0)</f>
        <v>142.55319148936169</v>
      </c>
      <c r="L701" s="563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38">
        <v>0</v>
      </c>
      <c r="J702" s="338">
        <f ca="1">J704+J706</f>
        <v>82.66</v>
      </c>
      <c r="K702" s="547">
        <f>IF(I702&gt;0,J702*100/I702,0)</f>
        <v>0</v>
      </c>
      <c r="L702" s="563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266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IFERROR(__xludf.DUMMYFUNCTION("IMPORTRANGE(""https://docs.google.com/spreadsheets/d/1eHaY18a8A9IcSdp1K8H6x8fbOy06t2VsZHhMHf-1x7Y/edit?usp=sharing"",""แผน!LJ21"")"),90)</f>
        <v>90</v>
      </c>
      <c r="J703" s="184">
        <f ca="1">IFERROR(__xludf.DUMMYFUNCTION("IMPORTRANGE(""https://docs.google.com/spreadsheets/d/1tdoBKaGub7dwA3U6UFTqxio9LNnvDCQjHKmttSEBsFQ/edit?usp=sharing"",""จัดที่ดิน!AP21"")"),134)</f>
        <v>134</v>
      </c>
      <c r="K703" s="224">
        <f ca="1">IF(I703&gt;0,J703*100/I703,0)</f>
        <v>148.88888888888889</v>
      </c>
      <c r="L703" s="563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IFERROR(__xludf.DUMMYFUNCTION("IMPORTRANGE(""https://docs.google.com/spreadsheets/d/1tdoBKaGub7dwA3U6UFTqxio9LNnvDCQjHKmttSEBsFQ/edit?usp=sharing"",""จัดที่ดิน!AQ21"")"),82.66)</f>
        <v>82.66</v>
      </c>
      <c r="K704" s="224">
        <f>IF(I704&gt;0,J704*100/I704,0)</f>
        <v>0</v>
      </c>
      <c r="L704" s="563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267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IFERROR(__xludf.DUMMYFUNCTION("IMPORTRANGE(""https://docs.google.com/spreadsheets/d/1eHaY18a8A9IcSdp1K8H6x8fbOy06t2VsZHhMHf-1x7Y/edit?usp=sharing"",""แผน!LK21"")"),4)</f>
        <v>4</v>
      </c>
      <c r="J705" s="184">
        <f ca="1">IFERROR(__xludf.DUMMYFUNCTION("IMPORTRANGE(""https://docs.google.com/spreadsheets/d/1tdoBKaGub7dwA3U6UFTqxio9LNnvDCQjHKmttSEBsFQ/edit?usp=sharing"",""จัดที่ดิน!AR21"")"),0)</f>
        <v>0</v>
      </c>
      <c r="K705" s="569">
        <f ca="1">IF(I705&gt;0,J705*100/I705,0)</f>
        <v>0</v>
      </c>
      <c r="L705" s="563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IFERROR(__xludf.DUMMYFUNCTION("IMPORTRANGE(""https://docs.google.com/spreadsheets/d/1tdoBKaGub7dwA3U6UFTqxio9LNnvDCQjHKmttSEBsFQ/edit?usp=sharing"",""จัดที่ดิน!AS21"")"),0)</f>
        <v>0</v>
      </c>
      <c r="K706" s="224">
        <f>IF(I706&gt;0,J706*100/I706,0)</f>
        <v>0</v>
      </c>
      <c r="L706" s="563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268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IFERROR(__xludf.DUMMYFUNCTION("IMPORTRANGE(""https://docs.google.com/spreadsheets/d/1eHaY18a8A9IcSdp1K8H6x8fbOy06t2VsZHhMHf-1x7Y/edit?usp=sharing"",""แผน!LJ21"")"),90)</f>
        <v>90</v>
      </c>
      <c r="J707" s="184">
        <f ca="1">IFERROR(__xludf.DUMMYFUNCTION("IMPORTRANGE(""https://docs.google.com/spreadsheets/d/1tdoBKaGub7dwA3U6UFTqxio9LNnvDCQjHKmttSEBsFQ/edit?usp=sharing"",""จัดที่ดิน!BN21"")"),114)</f>
        <v>114</v>
      </c>
      <c r="K707" s="224">
        <f ca="1">IF(I707&gt;0,J707*100/I707,0)</f>
        <v>126.66666666666667</v>
      </c>
      <c r="L707" s="563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76" t="s">
        <v>269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IFERROR(__xludf.DUMMYFUNCTION("IMPORTRANGE(""https://docs.google.com/spreadsheets/d/1tdoBKaGub7dwA3U6UFTqxio9LNnvDCQjHKmttSEBsFQ/edit?usp=sharing"",""จัดที่ดิน!BO21"")"),71)</f>
        <v>71</v>
      </c>
      <c r="K708" s="224">
        <f>IF(I708&gt;0,J708*100/I708,0)</f>
        <v>0</v>
      </c>
      <c r="L708" s="563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270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IFERROR(__xludf.DUMMYFUNCTION("IMPORTRANGE(""https://docs.google.com/spreadsheets/d/1eHaY18a8A9IcSdp1K8H6x8fbOy06t2VsZHhMHf-1x7Y/edit?usp=sharing"",""แผน!LK21"")"),4)</f>
        <v>4</v>
      </c>
      <c r="J709" s="184">
        <f ca="1">IFERROR(__xludf.DUMMYFUNCTION("IMPORTRANGE(""https://docs.google.com/spreadsheets/d/1tdoBKaGub7dwA3U6UFTqxio9LNnvDCQjHKmttSEBsFQ/edit?usp=sharing"",""จัดที่ดิน!BP21"")"),3)</f>
        <v>3</v>
      </c>
      <c r="K709" s="224">
        <f ca="1">IF(I709&gt;0,J709*100/I709,0)</f>
        <v>75</v>
      </c>
      <c r="L709" s="543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76" t="s">
        <v>271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IFERROR(__xludf.DUMMYFUNCTION("IMPORTRANGE(""https://docs.google.com/spreadsheets/d/1tdoBKaGub7dwA3U6UFTqxio9LNnvDCQjHKmttSEBsFQ/edit?usp=sharing"",""จัดที่ดิน!BQ21"")"),0)</f>
        <v>0</v>
      </c>
      <c r="K710" s="224">
        <f>IF(I710&gt;0,J710*100/I710,0)</f>
        <v>0</v>
      </c>
      <c r="L710" s="543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70"/>
      <c r="B711" s="324"/>
      <c r="C711" s="324"/>
      <c r="D711" s="371"/>
      <c r="E711" s="371"/>
      <c r="F711" s="371"/>
      <c r="G711" s="372"/>
      <c r="H711" s="325"/>
      <c r="I711" s="326"/>
      <c r="J711" s="326"/>
      <c r="K711" s="327"/>
      <c r="L711" s="568"/>
      <c r="M711" s="327"/>
      <c r="N711" s="327"/>
      <c r="O711" s="327"/>
      <c r="P711" s="327"/>
      <c r="Q711" s="327"/>
      <c r="R711" s="327"/>
      <c r="S711" s="327"/>
      <c r="T711" s="327"/>
      <c r="U711" s="327"/>
    </row>
    <row r="712" spans="1:21" ht="19.5" hidden="1" x14ac:dyDescent="0.3">
      <c r="A712" s="489"/>
      <c r="B712" s="477" t="s">
        <v>272</v>
      </c>
      <c r="C712" s="445"/>
      <c r="D712" s="447"/>
      <c r="E712" s="447"/>
      <c r="F712" s="447"/>
      <c r="G712" s="448"/>
      <c r="H712" s="478" t="s">
        <v>46</v>
      </c>
      <c r="I712" s="450"/>
      <c r="J712" s="450">
        <f>J724</f>
        <v>0</v>
      </c>
      <c r="K712" s="567">
        <f>IF(I712&gt;0,J712*100/I712,0)</f>
        <v>0</v>
      </c>
      <c r="L712" s="550"/>
      <c r="M712" s="451"/>
      <c r="N712" s="451"/>
      <c r="O712" s="451"/>
      <c r="P712" s="451"/>
      <c r="Q712" s="451"/>
      <c r="R712" s="451"/>
      <c r="S712" s="451"/>
      <c r="T712" s="451"/>
      <c r="U712" s="451"/>
    </row>
    <row r="713" spans="1:21" ht="19.5" hidden="1" x14ac:dyDescent="0.3">
      <c r="A713" s="489"/>
      <c r="B713" s="477" t="s">
        <v>273</v>
      </c>
      <c r="C713" s="445"/>
      <c r="D713" s="447"/>
      <c r="E713" s="447"/>
      <c r="F713" s="447"/>
      <c r="G713" s="448"/>
      <c r="H713" s="449"/>
      <c r="I713" s="450"/>
      <c r="J713" s="450"/>
      <c r="K713" s="451"/>
      <c r="L713" s="550"/>
      <c r="M713" s="451"/>
      <c r="N713" s="451"/>
      <c r="O713" s="451"/>
      <c r="P713" s="451"/>
      <c r="Q713" s="451"/>
      <c r="R713" s="451"/>
      <c r="S713" s="451"/>
      <c r="T713" s="451"/>
      <c r="U713" s="451"/>
    </row>
    <row r="714" spans="1:21" ht="19.5" hidden="1" x14ac:dyDescent="0.3">
      <c r="A714" s="128"/>
      <c r="B714" s="158"/>
      <c r="C714" s="322" t="s">
        <v>18</v>
      </c>
      <c r="D714" s="566" t="s">
        <v>19</v>
      </c>
      <c r="E714" s="526"/>
      <c r="F714" s="526"/>
      <c r="G714" s="527"/>
      <c r="H714" s="480" t="s">
        <v>14</v>
      </c>
      <c r="I714" s="44"/>
      <c r="J714" s="44"/>
      <c r="K714" s="45"/>
      <c r="L714" s="548">
        <f>L715+L716</f>
        <v>0</v>
      </c>
      <c r="M714" s="547">
        <f>M715+M716</f>
        <v>0</v>
      </c>
      <c r="N714" s="547">
        <f>N715+N716</f>
        <v>0</v>
      </c>
      <c r="O714" s="547">
        <f>IF(L714&gt;0,N714*100/L714,0)</f>
        <v>0</v>
      </c>
      <c r="P714" s="547">
        <f>IF(M714&gt;0,N714*100/M714,0)</f>
        <v>0</v>
      </c>
      <c r="Q714" s="547">
        <f>Q715+Q716</f>
        <v>0</v>
      </c>
      <c r="R714" s="547">
        <f>R715+R716</f>
        <v>0</v>
      </c>
      <c r="S714" s="547">
        <f>S715+S716</f>
        <v>0</v>
      </c>
      <c r="T714" s="547">
        <f>IF(Q714&gt;0,S714*100/Q714,0)</f>
        <v>0</v>
      </c>
      <c r="U714" s="547">
        <f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162</v>
      </c>
      <c r="F715" s="40"/>
      <c r="G715" s="42"/>
      <c r="H715" s="159" t="s">
        <v>14</v>
      </c>
      <c r="I715" s="44"/>
      <c r="J715" s="44"/>
      <c r="K715" s="45"/>
      <c r="L715" s="546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hidden="1" x14ac:dyDescent="0.25">
      <c r="A716" s="128"/>
      <c r="B716" s="158"/>
      <c r="C716" s="158"/>
      <c r="D716" s="145"/>
      <c r="E716" s="156" t="s">
        <v>163</v>
      </c>
      <c r="F716" s="40"/>
      <c r="G716" s="42"/>
      <c r="H716" s="159" t="s">
        <v>14</v>
      </c>
      <c r="I716" s="44"/>
      <c r="J716" s="44"/>
      <c r="K716" s="45"/>
      <c r="L716" s="545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hidden="1" x14ac:dyDescent="0.3">
      <c r="A717" s="128"/>
      <c r="B717" s="158"/>
      <c r="C717" s="158"/>
      <c r="D717" s="565" t="s">
        <v>22</v>
      </c>
      <c r="E717" s="40"/>
      <c r="F717" s="40"/>
      <c r="G717" s="42"/>
      <c r="H717" s="480" t="s">
        <v>14</v>
      </c>
      <c r="I717" s="135"/>
      <c r="J717" s="135"/>
      <c r="K717" s="136"/>
      <c r="L717" s="545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hidden="1" x14ac:dyDescent="0.25">
      <c r="A718" s="128"/>
      <c r="B718" s="158"/>
      <c r="C718" s="158"/>
      <c r="D718" s="145"/>
      <c r="E718" s="156" t="s">
        <v>162</v>
      </c>
      <c r="F718" s="40"/>
      <c r="G718" s="42"/>
      <c r="H718" s="159" t="s">
        <v>14</v>
      </c>
      <c r="I718" s="44"/>
      <c r="J718" s="44"/>
      <c r="K718" s="45"/>
      <c r="L718" s="546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hidden="1" x14ac:dyDescent="0.25">
      <c r="A719" s="128"/>
      <c r="B719" s="158"/>
      <c r="C719" s="158"/>
      <c r="D719" s="145"/>
      <c r="E719" s="156" t="s">
        <v>163</v>
      </c>
      <c r="F719" s="40"/>
      <c r="G719" s="42"/>
      <c r="H719" s="159" t="s">
        <v>14</v>
      </c>
      <c r="I719" s="44"/>
      <c r="J719" s="44"/>
      <c r="K719" s="45"/>
      <c r="L719" s="545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hidden="1" x14ac:dyDescent="0.3">
      <c r="A720" s="128"/>
      <c r="B720" s="158"/>
      <c r="C720" s="158"/>
      <c r="D720" s="565" t="s">
        <v>23</v>
      </c>
      <c r="E720" s="40"/>
      <c r="F720" s="40"/>
      <c r="G720" s="42"/>
      <c r="H720" s="482" t="s">
        <v>14</v>
      </c>
      <c r="I720" s="135"/>
      <c r="J720" s="135"/>
      <c r="K720" s="136"/>
      <c r="L720" s="545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546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483" t="s">
        <v>14</v>
      </c>
      <c r="I722" s="135"/>
      <c r="J722" s="135"/>
      <c r="K722" s="136"/>
      <c r="L722" s="545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hidden="1" x14ac:dyDescent="0.3">
      <c r="A723" s="138"/>
      <c r="B723" s="139"/>
      <c r="C723" s="322" t="s">
        <v>18</v>
      </c>
      <c r="D723" s="564" t="s">
        <v>38</v>
      </c>
      <c r="E723" s="141"/>
      <c r="F723" s="141"/>
      <c r="G723" s="142"/>
      <c r="H723" s="178"/>
      <c r="I723" s="135"/>
      <c r="J723" s="135"/>
      <c r="K723" s="136"/>
      <c r="L723" s="563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274</v>
      </c>
      <c r="F724" s="40"/>
      <c r="G724" s="42"/>
      <c r="H724" s="159" t="s">
        <v>46</v>
      </c>
      <c r="I724" s="485">
        <v>0</v>
      </c>
      <c r="J724" s="44"/>
      <c r="K724" s="45"/>
      <c r="L724" s="543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39"/>
      <c r="B725" s="2"/>
      <c r="C725" s="2"/>
      <c r="D725" s="1"/>
      <c r="E725" s="486" t="s">
        <v>275</v>
      </c>
      <c r="F725" s="1"/>
      <c r="G725" s="52"/>
      <c r="H725" s="487" t="s">
        <v>46</v>
      </c>
      <c r="I725" s="488">
        <v>0</v>
      </c>
      <c r="J725" s="54"/>
      <c r="K725" s="3"/>
      <c r="L725" s="541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489"/>
      <c r="B726" s="446" t="s">
        <v>276</v>
      </c>
      <c r="C726" s="445"/>
      <c r="D726" s="447"/>
      <c r="E726" s="447"/>
      <c r="F726" s="447"/>
      <c r="G726" s="448"/>
      <c r="H726" s="472" t="s">
        <v>35</v>
      </c>
      <c r="I726" s="552">
        <f ca="1">IFERROR(__xludf.DUMMYFUNCTION("IMPORTRANGE(""https://docs.google.com/spreadsheets/d/1eHaY18a8A9IcSdp1K8H6x8fbOy06t2VsZHhMHf-1x7Y/edit?usp=sharing"",""แผน!GA21"")"),31)</f>
        <v>31</v>
      </c>
      <c r="J726" s="552">
        <f>J742+J746+J749</f>
        <v>31</v>
      </c>
      <c r="K726" s="551">
        <f ca="1">IF(I726&gt;0,J726*100/I726,0)</f>
        <v>100</v>
      </c>
      <c r="L726" s="550"/>
      <c r="M726" s="451"/>
      <c r="N726" s="451"/>
      <c r="O726" s="451"/>
      <c r="P726" s="451"/>
      <c r="Q726" s="451"/>
      <c r="R726" s="451"/>
      <c r="S726" s="451"/>
      <c r="T726" s="451"/>
      <c r="U726" s="451"/>
    </row>
    <row r="727" spans="1:21" ht="19.5" x14ac:dyDescent="0.3">
      <c r="A727" s="489"/>
      <c r="B727" s="445"/>
      <c r="C727" s="445"/>
      <c r="D727" s="447"/>
      <c r="E727" s="447"/>
      <c r="F727" s="447"/>
      <c r="G727" s="448"/>
      <c r="H727" s="472" t="s">
        <v>46</v>
      </c>
      <c r="I727" s="552">
        <f ca="1">IFERROR(__xludf.DUMMYFUNCTION("IMPORTRANGE(""https://docs.google.com/spreadsheets/d/1eHaY18a8A9IcSdp1K8H6x8fbOy06t2VsZHhMHf-1x7Y/edit?usp=sharing"",""แผน!FZ21"")"),300)</f>
        <v>300</v>
      </c>
      <c r="J727" s="552">
        <f>J752+J755</f>
        <v>300</v>
      </c>
      <c r="K727" s="551">
        <f ca="1">IF(I727&gt;0,J727*100/I727,0)</f>
        <v>100</v>
      </c>
      <c r="L727" s="550"/>
      <c r="M727" s="451"/>
      <c r="N727" s="451"/>
      <c r="O727" s="451"/>
      <c r="P727" s="451"/>
      <c r="Q727" s="451"/>
      <c r="R727" s="451"/>
      <c r="S727" s="451"/>
      <c r="T727" s="451"/>
      <c r="U727" s="451"/>
    </row>
    <row r="728" spans="1:21" ht="19.5" x14ac:dyDescent="0.3">
      <c r="A728" s="128"/>
      <c r="B728" s="158"/>
      <c r="C728" s="374" t="s">
        <v>18</v>
      </c>
      <c r="D728" s="549" t="s">
        <v>19</v>
      </c>
      <c r="E728" s="526"/>
      <c r="F728" s="526"/>
      <c r="G728" s="527"/>
      <c r="H728" s="221" t="s">
        <v>14</v>
      </c>
      <c r="I728" s="44"/>
      <c r="J728" s="44"/>
      <c r="K728" s="45"/>
      <c r="L728" s="548">
        <f>L729+L730</f>
        <v>0</v>
      </c>
      <c r="M728" s="547">
        <f>M729+M730</f>
        <v>0</v>
      </c>
      <c r="N728" s="547">
        <f>N729+N730</f>
        <v>0</v>
      </c>
      <c r="O728" s="547">
        <f>IF(L728&gt;0,N728*100/L728,0)</f>
        <v>0</v>
      </c>
      <c r="P728" s="547">
        <f>IF(M728&gt;0,N728*100/M728,0)</f>
        <v>0</v>
      </c>
      <c r="Q728" s="547">
        <f ca="1">Q729+Q730</f>
        <v>242546</v>
      </c>
      <c r="R728" s="547">
        <f ca="1">R729+R730</f>
        <v>242546</v>
      </c>
      <c r="S728" s="547">
        <f ca="1">S729+S730</f>
        <v>227310</v>
      </c>
      <c r="T728" s="547">
        <f ca="1">IF(Q728&gt;0,S728*100/Q728,0)</f>
        <v>93.718304981323129</v>
      </c>
      <c r="U728" s="547">
        <f ca="1">IF(R728&gt;0,S728*100/R728,0)</f>
        <v>93.718304981323129</v>
      </c>
    </row>
    <row r="729" spans="1:21" ht="18.75" hidden="1" x14ac:dyDescent="0.25">
      <c r="A729" s="128"/>
      <c r="B729" s="158"/>
      <c r="C729" s="158"/>
      <c r="D729" s="145"/>
      <c r="E729" s="156" t="s">
        <v>162</v>
      </c>
      <c r="F729" s="40"/>
      <c r="G729" s="42"/>
      <c r="H729" s="159" t="s">
        <v>14</v>
      </c>
      <c r="I729" s="44"/>
      <c r="J729" s="44"/>
      <c r="K729" s="45"/>
      <c r="L729" s="546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31.5" hidden="1" customHeight="1" x14ac:dyDescent="0.25">
      <c r="A730" s="128"/>
      <c r="B730" s="158"/>
      <c r="C730" s="158"/>
      <c r="D730" s="145"/>
      <c r="E730" s="47" t="s">
        <v>163</v>
      </c>
      <c r="F730" s="40"/>
      <c r="G730" s="42"/>
      <c r="H730" s="134" t="s">
        <v>14</v>
      </c>
      <c r="I730" s="44"/>
      <c r="J730" s="44"/>
      <c r="K730" s="45"/>
      <c r="L730" s="545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227310</v>
      </c>
      <c r="T730" s="224">
        <f ca="1">IF(Q730&gt;0,S730*100/Q730,0)</f>
        <v>93.718304981323129</v>
      </c>
      <c r="U730" s="224">
        <f ca="1">IF(R730&gt;0,S730*100/R730,0)</f>
        <v>93.718304981323129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545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227310</v>
      </c>
      <c r="T731" s="224">
        <f ca="1">IF(Q731&gt;0,S731*100/Q731,0)</f>
        <v>93.718304981323129</v>
      </c>
      <c r="U731" s="224">
        <f ca="1">IF(R731&gt;0,S731*100/R731,0)</f>
        <v>93.718304981323129</v>
      </c>
    </row>
    <row r="732" spans="1:21" ht="18.75" hidden="1" x14ac:dyDescent="0.25">
      <c r="A732" s="128"/>
      <c r="B732" s="158"/>
      <c r="C732" s="158"/>
      <c r="D732" s="145"/>
      <c r="E732" s="156" t="s">
        <v>162</v>
      </c>
      <c r="F732" s="40"/>
      <c r="G732" s="42"/>
      <c r="H732" s="159" t="s">
        <v>14</v>
      </c>
      <c r="I732" s="44"/>
      <c r="J732" s="44"/>
      <c r="K732" s="45"/>
      <c r="L732" s="546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hidden="1" x14ac:dyDescent="0.25">
      <c r="A733" s="128"/>
      <c r="B733" s="158"/>
      <c r="C733" s="158"/>
      <c r="D733" s="145"/>
      <c r="E733" s="47" t="s">
        <v>163</v>
      </c>
      <c r="F733" s="40"/>
      <c r="G733" s="42"/>
      <c r="H733" s="134" t="s">
        <v>14</v>
      </c>
      <c r="I733" s="44"/>
      <c r="J733" s="44"/>
      <c r="K733" s="45"/>
      <c r="L733" s="545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IFERROR(__xludf.DUMMYFUNCTION("IMPORTRANGE(""https://docs.google.com/spreadsheets/d/1ItG2mGa2ceCfYo0BwxsXqNm01IGEUdYcSSLTEv9YCik/edit?usp=sharing"",""เบิกจ่ายกองทุน!Q21"")"),227310)</f>
        <v>227310</v>
      </c>
      <c r="T733" s="224">
        <f ca="1">IF(Q733&gt;0,S733*100/Q733,0)</f>
        <v>93.718304981323129</v>
      </c>
      <c r="U733" s="224">
        <f ca="1">IF(R733&gt;0,S733*100/R733,0)</f>
        <v>93.718304981323129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545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hidden="1" x14ac:dyDescent="0.25">
      <c r="A735" s="128"/>
      <c r="B735" s="158"/>
      <c r="C735" s="158"/>
      <c r="D735" s="158"/>
      <c r="E735" s="322" t="s">
        <v>20</v>
      </c>
      <c r="F735" s="158"/>
      <c r="G735" s="42"/>
      <c r="H735" s="159" t="s">
        <v>14</v>
      </c>
      <c r="I735" s="135"/>
      <c r="J735" s="135"/>
      <c r="K735" s="136"/>
      <c r="L735" s="546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hidden="1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545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374" t="s">
        <v>18</v>
      </c>
      <c r="D737" s="562" t="s">
        <v>38</v>
      </c>
      <c r="E737" s="203"/>
      <c r="F737" s="141"/>
      <c r="G737" s="142"/>
      <c r="H737" s="178"/>
      <c r="I737" s="44"/>
      <c r="J737" s="44"/>
      <c r="K737" s="45"/>
      <c r="L737" s="543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90" t="s">
        <v>121</v>
      </c>
      <c r="E738" s="139"/>
      <c r="F738" s="139"/>
      <c r="G738" s="143"/>
      <c r="H738" s="180"/>
      <c r="I738" s="44"/>
      <c r="J738" s="44"/>
      <c r="K738" s="45"/>
      <c r="L738" s="543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61" t="s">
        <v>277</v>
      </c>
      <c r="F739" s="139"/>
      <c r="G739" s="143"/>
      <c r="H739" s="180"/>
      <c r="I739" s="44"/>
      <c r="J739" s="44"/>
      <c r="K739" s="45"/>
      <c r="L739" s="543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421"/>
      <c r="B740" s="422"/>
      <c r="C740" s="422"/>
      <c r="D740" s="422"/>
      <c r="E740" s="422"/>
      <c r="F740" s="427" t="s">
        <v>278</v>
      </c>
      <c r="G740" s="428"/>
      <c r="H740" s="556" t="s">
        <v>46</v>
      </c>
      <c r="I740" s="559">
        <f ca="1">IFERROR(__xludf.DUMMYFUNCTION("IMPORTRANGE(""https://docs.google.com/spreadsheets/d/1eHaY18a8A9IcSdp1K8H6x8fbOy06t2VsZHhMHf-1x7Y/edit?usp=sharing"",""แผน!GB21"")"),240)</f>
        <v>240</v>
      </c>
      <c r="J740" s="555">
        <v>240</v>
      </c>
      <c r="K740" s="558">
        <f ca="1">IF(I740&gt;0,J740*100/I740,0)</f>
        <v>100</v>
      </c>
      <c r="L740" s="554"/>
      <c r="M740" s="407"/>
      <c r="N740" s="407"/>
      <c r="O740" s="407"/>
      <c r="P740" s="407"/>
      <c r="Q740" s="407"/>
      <c r="R740" s="407"/>
      <c r="S740" s="407"/>
      <c r="T740" s="407"/>
      <c r="U740" s="407"/>
    </row>
    <row r="741" spans="1:21" ht="18.75" x14ac:dyDescent="0.25">
      <c r="A741" s="421"/>
      <c r="B741" s="422"/>
      <c r="C741" s="422"/>
      <c r="D741" s="422"/>
      <c r="E741" s="422"/>
      <c r="F741" s="427" t="s">
        <v>313</v>
      </c>
      <c r="G741" s="428"/>
      <c r="H741" s="556" t="s">
        <v>35</v>
      </c>
      <c r="I741" s="406"/>
      <c r="J741" s="555">
        <v>24</v>
      </c>
      <c r="K741" s="407"/>
      <c r="L741" s="554"/>
      <c r="M741" s="407"/>
      <c r="N741" s="407"/>
      <c r="O741" s="407"/>
      <c r="P741" s="407"/>
      <c r="Q741" s="407"/>
      <c r="R741" s="407"/>
      <c r="S741" s="407"/>
      <c r="T741" s="407"/>
      <c r="U741" s="407"/>
    </row>
    <row r="742" spans="1:21" ht="18.75" x14ac:dyDescent="0.25">
      <c r="A742" s="421"/>
      <c r="B742" s="422"/>
      <c r="C742" s="422"/>
      <c r="D742" s="422"/>
      <c r="E742" s="422"/>
      <c r="F742" s="427" t="s">
        <v>312</v>
      </c>
      <c r="G742" s="428"/>
      <c r="H742" s="556" t="s">
        <v>35</v>
      </c>
      <c r="I742" s="559">
        <f ca="1">IFERROR(__xludf.DUMMYFUNCTION("IMPORTRANGE(""https://docs.google.com/spreadsheets/d/1eHaY18a8A9IcSdp1K8H6x8fbOy06t2VsZHhMHf-1x7Y/edit?usp=sharing"",""แผน!GC21"")"),24)</f>
        <v>24</v>
      </c>
      <c r="J742" s="555">
        <v>24</v>
      </c>
      <c r="K742" s="558">
        <f ca="1">IF(I742&gt;0,J742*100/I742,0)</f>
        <v>100</v>
      </c>
      <c r="L742" s="554"/>
      <c r="M742" s="407"/>
      <c r="N742" s="407"/>
      <c r="O742" s="407"/>
      <c r="P742" s="407"/>
      <c r="Q742" s="407"/>
      <c r="R742" s="407"/>
      <c r="S742" s="407"/>
      <c r="T742" s="407"/>
      <c r="U742" s="407"/>
    </row>
    <row r="743" spans="1:21" ht="18.75" x14ac:dyDescent="0.25">
      <c r="A743" s="421"/>
      <c r="B743" s="422"/>
      <c r="C743" s="422"/>
      <c r="D743" s="422"/>
      <c r="E743" s="427" t="s">
        <v>281</v>
      </c>
      <c r="F743" s="422"/>
      <c r="G743" s="428"/>
      <c r="H743" s="560"/>
      <c r="I743" s="406"/>
      <c r="J743" s="406"/>
      <c r="K743" s="407"/>
      <c r="L743" s="554"/>
      <c r="M743" s="407"/>
      <c r="N743" s="407"/>
      <c r="O743" s="407"/>
      <c r="P743" s="407"/>
      <c r="Q743" s="407"/>
      <c r="R743" s="407"/>
      <c r="S743" s="407"/>
      <c r="T743" s="407"/>
      <c r="U743" s="407"/>
    </row>
    <row r="744" spans="1:21" ht="18.75" x14ac:dyDescent="0.25">
      <c r="A744" s="421"/>
      <c r="B744" s="422"/>
      <c r="C744" s="422"/>
      <c r="D744" s="422"/>
      <c r="E744" s="422"/>
      <c r="F744" s="427" t="s">
        <v>278</v>
      </c>
      <c r="G744" s="428"/>
      <c r="H744" s="556" t="s">
        <v>46</v>
      </c>
      <c r="I744" s="559">
        <f ca="1">IFERROR(__xludf.DUMMYFUNCTION("IMPORTRANGE(""https://docs.google.com/spreadsheets/d/1eHaY18a8A9IcSdp1K8H6x8fbOy06t2VsZHhMHf-1x7Y/edit?usp=sharing"",""แผน!GD21"")"),60)</f>
        <v>60</v>
      </c>
      <c r="J744" s="555">
        <v>60</v>
      </c>
      <c r="K744" s="558">
        <f ca="1">IF(I744&gt;0,J744*100/I744,0)</f>
        <v>100</v>
      </c>
      <c r="L744" s="554"/>
      <c r="M744" s="407"/>
      <c r="N744" s="407"/>
      <c r="O744" s="407"/>
      <c r="P744" s="407"/>
      <c r="Q744" s="407"/>
      <c r="R744" s="407"/>
      <c r="S744" s="407"/>
      <c r="T744" s="407"/>
      <c r="U744" s="407"/>
    </row>
    <row r="745" spans="1:21" ht="18.75" x14ac:dyDescent="0.25">
      <c r="A745" s="421"/>
      <c r="B745" s="422"/>
      <c r="C745" s="422"/>
      <c r="D745" s="422"/>
      <c r="E745" s="422"/>
      <c r="F745" s="427" t="s">
        <v>311</v>
      </c>
      <c r="G745" s="428"/>
      <c r="H745" s="556" t="s">
        <v>35</v>
      </c>
      <c r="I745" s="406"/>
      <c r="J745" s="555">
        <v>6</v>
      </c>
      <c r="K745" s="407"/>
      <c r="L745" s="554"/>
      <c r="M745" s="407"/>
      <c r="N745" s="407"/>
      <c r="O745" s="407"/>
      <c r="P745" s="407"/>
      <c r="Q745" s="407"/>
      <c r="R745" s="407"/>
      <c r="S745" s="407"/>
      <c r="T745" s="407"/>
      <c r="U745" s="407"/>
    </row>
    <row r="746" spans="1:21" ht="18.75" x14ac:dyDescent="0.25">
      <c r="A746" s="421"/>
      <c r="B746" s="422"/>
      <c r="C746" s="422"/>
      <c r="D746" s="422"/>
      <c r="E746" s="422"/>
      <c r="F746" s="427" t="s">
        <v>310</v>
      </c>
      <c r="G746" s="428"/>
      <c r="H746" s="556" t="s">
        <v>35</v>
      </c>
      <c r="I746" s="559">
        <f ca="1">IFERROR(__xludf.DUMMYFUNCTION("IMPORTRANGE(""https://docs.google.com/spreadsheets/d/1eHaY18a8A9IcSdp1K8H6x8fbOy06t2VsZHhMHf-1x7Y/edit?usp=sharing"",""แผน!GE21"")"),6)</f>
        <v>6</v>
      </c>
      <c r="J746" s="555">
        <v>6</v>
      </c>
      <c r="K746" s="558">
        <f ca="1">IF(I746&gt;0,J746*100/I746,0)</f>
        <v>100</v>
      </c>
      <c r="L746" s="554"/>
      <c r="M746" s="407"/>
      <c r="N746" s="407"/>
      <c r="O746" s="407"/>
      <c r="P746" s="407"/>
      <c r="Q746" s="407"/>
      <c r="R746" s="407"/>
      <c r="S746" s="407"/>
      <c r="T746" s="407"/>
      <c r="U746" s="407"/>
    </row>
    <row r="747" spans="1:21" ht="18.75" x14ac:dyDescent="0.25">
      <c r="A747" s="421"/>
      <c r="B747" s="422"/>
      <c r="C747" s="422"/>
      <c r="D747" s="422"/>
      <c r="E747" s="427" t="s">
        <v>284</v>
      </c>
      <c r="F747" s="409"/>
      <c r="G747" s="428"/>
      <c r="H747" s="560"/>
      <c r="I747" s="406"/>
      <c r="J747" s="406"/>
      <c r="K747" s="407"/>
      <c r="L747" s="554"/>
      <c r="M747" s="407"/>
      <c r="N747" s="407"/>
      <c r="O747" s="407"/>
      <c r="P747" s="407"/>
      <c r="Q747" s="407"/>
      <c r="R747" s="407"/>
      <c r="S747" s="407"/>
      <c r="T747" s="407"/>
      <c r="U747" s="407"/>
    </row>
    <row r="748" spans="1:21" ht="18.75" x14ac:dyDescent="0.25">
      <c r="A748" s="421"/>
      <c r="B748" s="422"/>
      <c r="C748" s="422"/>
      <c r="D748" s="422"/>
      <c r="E748" s="422"/>
      <c r="F748" s="427" t="s">
        <v>309</v>
      </c>
      <c r="G748" s="428"/>
      <c r="H748" s="556" t="s">
        <v>35</v>
      </c>
      <c r="I748" s="406"/>
      <c r="J748" s="555">
        <v>1</v>
      </c>
      <c r="K748" s="407"/>
      <c r="L748" s="554"/>
      <c r="M748" s="407"/>
      <c r="N748" s="407"/>
      <c r="O748" s="407"/>
      <c r="P748" s="407"/>
      <c r="Q748" s="407"/>
      <c r="R748" s="407"/>
      <c r="S748" s="407"/>
      <c r="T748" s="407"/>
      <c r="U748" s="407"/>
    </row>
    <row r="749" spans="1:21" ht="18.75" x14ac:dyDescent="0.25">
      <c r="A749" s="421"/>
      <c r="B749" s="422"/>
      <c r="C749" s="422"/>
      <c r="D749" s="422"/>
      <c r="E749" s="422"/>
      <c r="F749" s="427" t="s">
        <v>308</v>
      </c>
      <c r="G749" s="428"/>
      <c r="H749" s="556" t="s">
        <v>35</v>
      </c>
      <c r="I749" s="559">
        <f ca="1">IFERROR(__xludf.DUMMYFUNCTION("IMPORTRANGE(""https://docs.google.com/spreadsheets/d/1eHaY18a8A9IcSdp1K8H6x8fbOy06t2VsZHhMHf-1x7Y/edit?usp=sharing"",""แผน!GF21"")"),1)</f>
        <v>1</v>
      </c>
      <c r="J749" s="555">
        <v>1</v>
      </c>
      <c r="K749" s="558">
        <f ca="1">IF(I749&gt;0,J749*100/I749,0)</f>
        <v>100</v>
      </c>
      <c r="L749" s="554"/>
      <c r="M749" s="407"/>
      <c r="N749" s="407"/>
      <c r="O749" s="407"/>
      <c r="P749" s="407"/>
      <c r="Q749" s="407"/>
      <c r="R749" s="407"/>
      <c r="S749" s="407"/>
      <c r="T749" s="407"/>
      <c r="U749" s="407"/>
    </row>
    <row r="750" spans="1:21" ht="19.5" x14ac:dyDescent="0.3">
      <c r="A750" s="421"/>
      <c r="B750" s="422"/>
      <c r="C750" s="422"/>
      <c r="D750" s="561" t="s">
        <v>50</v>
      </c>
      <c r="E750" s="422"/>
      <c r="F750" s="409"/>
      <c r="G750" s="428"/>
      <c r="H750" s="560"/>
      <c r="I750" s="406"/>
      <c r="J750" s="406"/>
      <c r="K750" s="407"/>
      <c r="L750" s="554"/>
      <c r="M750" s="407"/>
      <c r="N750" s="407"/>
      <c r="O750" s="407"/>
      <c r="P750" s="407"/>
      <c r="Q750" s="407"/>
      <c r="R750" s="407"/>
      <c r="S750" s="407"/>
      <c r="T750" s="407"/>
      <c r="U750" s="407"/>
    </row>
    <row r="751" spans="1:21" ht="18.75" x14ac:dyDescent="0.25">
      <c r="A751" s="421"/>
      <c r="B751" s="422"/>
      <c r="C751" s="422"/>
      <c r="D751" s="422"/>
      <c r="E751" s="427" t="s">
        <v>277</v>
      </c>
      <c r="F751" s="409"/>
      <c r="G751" s="428"/>
      <c r="H751" s="560"/>
      <c r="I751" s="406"/>
      <c r="J751" s="406"/>
      <c r="K751" s="407"/>
      <c r="L751" s="554"/>
      <c r="M751" s="407"/>
      <c r="N751" s="407"/>
      <c r="O751" s="407"/>
      <c r="P751" s="407"/>
      <c r="Q751" s="407"/>
      <c r="R751" s="407"/>
      <c r="S751" s="407"/>
      <c r="T751" s="407"/>
      <c r="U751" s="407"/>
    </row>
    <row r="752" spans="1:21" ht="18.75" x14ac:dyDescent="0.25">
      <c r="A752" s="421"/>
      <c r="B752" s="422"/>
      <c r="C752" s="422"/>
      <c r="D752" s="422"/>
      <c r="E752" s="422"/>
      <c r="F752" s="557" t="s">
        <v>307</v>
      </c>
      <c r="G752" s="428"/>
      <c r="H752" s="556" t="s">
        <v>46</v>
      </c>
      <c r="I752" s="559">
        <f ca="1">IFERROR(__xludf.DUMMYFUNCTION("IMPORTRANGE(""https://docs.google.com/spreadsheets/d/1eHaY18a8A9IcSdp1K8H6x8fbOy06t2VsZHhMHf-1x7Y/edit?usp=sharing"",""แผน!GB21"")"),240)</f>
        <v>240</v>
      </c>
      <c r="J752" s="555">
        <v>240</v>
      </c>
      <c r="K752" s="558">
        <f ca="1">IF(I752&gt;0,J752*100/I752,0)</f>
        <v>100</v>
      </c>
      <c r="L752" s="554"/>
      <c r="M752" s="407"/>
      <c r="N752" s="407"/>
      <c r="O752" s="407"/>
      <c r="P752" s="407"/>
      <c r="Q752" s="407"/>
      <c r="R752" s="407"/>
      <c r="S752" s="407"/>
      <c r="T752" s="407"/>
      <c r="U752" s="407"/>
    </row>
    <row r="753" spans="1:21" ht="18.75" x14ac:dyDescent="0.25">
      <c r="A753" s="421"/>
      <c r="B753" s="422"/>
      <c r="C753" s="422"/>
      <c r="D753" s="422"/>
      <c r="E753" s="422"/>
      <c r="F753" s="557" t="s">
        <v>306</v>
      </c>
      <c r="G753" s="428"/>
      <c r="H753" s="556" t="s">
        <v>46</v>
      </c>
      <c r="I753" s="406"/>
      <c r="J753" s="555">
        <v>240</v>
      </c>
      <c r="K753" s="407"/>
      <c r="L753" s="554"/>
      <c r="M753" s="407"/>
      <c r="N753" s="407"/>
      <c r="O753" s="407"/>
      <c r="P753" s="407"/>
      <c r="Q753" s="407"/>
      <c r="R753" s="407"/>
      <c r="S753" s="407"/>
      <c r="T753" s="407"/>
      <c r="U753" s="407"/>
    </row>
    <row r="754" spans="1:21" ht="18.75" x14ac:dyDescent="0.25">
      <c r="A754" s="421"/>
      <c r="B754" s="422"/>
      <c r="C754" s="422"/>
      <c r="D754" s="422"/>
      <c r="E754" s="427" t="s">
        <v>281</v>
      </c>
      <c r="F754" s="409"/>
      <c r="G754" s="428"/>
      <c r="H754" s="560"/>
      <c r="I754" s="406"/>
      <c r="J754" s="406"/>
      <c r="K754" s="407"/>
      <c r="L754" s="554"/>
      <c r="M754" s="407"/>
      <c r="N754" s="407"/>
      <c r="O754" s="407"/>
      <c r="P754" s="407"/>
      <c r="Q754" s="407"/>
      <c r="R754" s="407"/>
      <c r="S754" s="407"/>
      <c r="T754" s="407"/>
      <c r="U754" s="407"/>
    </row>
    <row r="755" spans="1:21" ht="18.75" x14ac:dyDescent="0.25">
      <c r="A755" s="421"/>
      <c r="B755" s="422"/>
      <c r="C755" s="422"/>
      <c r="D755" s="422"/>
      <c r="E755" s="409"/>
      <c r="F755" s="557" t="s">
        <v>305</v>
      </c>
      <c r="G755" s="428"/>
      <c r="H755" s="556" t="s">
        <v>46</v>
      </c>
      <c r="I755" s="559">
        <f ca="1">IFERROR(__xludf.DUMMYFUNCTION("IMPORTRANGE(""https://docs.google.com/spreadsheets/d/1eHaY18a8A9IcSdp1K8H6x8fbOy06t2VsZHhMHf-1x7Y/edit?usp=sharing"",""แผน!GD21"")"),60)</f>
        <v>60</v>
      </c>
      <c r="J755" s="555">
        <v>60</v>
      </c>
      <c r="K755" s="558">
        <f ca="1">IF(I755&gt;0,J755*100/I755,0)</f>
        <v>100</v>
      </c>
      <c r="L755" s="554"/>
      <c r="M755" s="407"/>
      <c r="N755" s="407"/>
      <c r="O755" s="407"/>
      <c r="P755" s="407"/>
      <c r="Q755" s="407"/>
      <c r="R755" s="407"/>
      <c r="S755" s="407"/>
      <c r="T755" s="407"/>
      <c r="U755" s="407"/>
    </row>
    <row r="756" spans="1:21" ht="18.75" x14ac:dyDescent="0.25">
      <c r="A756" s="421"/>
      <c r="B756" s="422"/>
      <c r="C756" s="422"/>
      <c r="D756" s="422"/>
      <c r="E756" s="409"/>
      <c r="F756" s="557" t="s">
        <v>304</v>
      </c>
      <c r="G756" s="428"/>
      <c r="H756" s="556" t="s">
        <v>46</v>
      </c>
      <c r="I756" s="406"/>
      <c r="J756" s="555">
        <v>60</v>
      </c>
      <c r="K756" s="407"/>
      <c r="L756" s="554"/>
      <c r="M756" s="407"/>
      <c r="N756" s="407"/>
      <c r="O756" s="407"/>
      <c r="P756" s="407"/>
      <c r="Q756" s="407"/>
      <c r="R756" s="407"/>
      <c r="S756" s="407"/>
      <c r="T756" s="407"/>
      <c r="U756" s="407"/>
    </row>
    <row r="757" spans="1:21" ht="18.75" x14ac:dyDescent="0.25">
      <c r="A757" s="553"/>
      <c r="B757" s="491"/>
      <c r="C757" s="491"/>
      <c r="D757" s="491"/>
      <c r="E757" s="492" t="s">
        <v>291</v>
      </c>
      <c r="F757" s="493"/>
      <c r="G757" s="494"/>
      <c r="H757" s="495" t="s">
        <v>35</v>
      </c>
      <c r="I757" s="496"/>
      <c r="J757" s="377">
        <v>1</v>
      </c>
      <c r="K757" s="497"/>
      <c r="L757" s="497"/>
      <c r="M757" s="497"/>
      <c r="N757" s="497"/>
      <c r="O757" s="497"/>
      <c r="P757" s="497"/>
      <c r="Q757" s="497"/>
      <c r="R757" s="497"/>
      <c r="S757" s="497"/>
      <c r="T757" s="497"/>
      <c r="U757" s="497"/>
    </row>
    <row r="758" spans="1:21" ht="19.5" x14ac:dyDescent="0.3">
      <c r="A758" s="489"/>
      <c r="B758" s="446" t="s">
        <v>292</v>
      </c>
      <c r="C758" s="445"/>
      <c r="D758" s="447"/>
      <c r="E758" s="447"/>
      <c r="F758" s="447"/>
      <c r="G758" s="448"/>
      <c r="H758" s="472" t="s">
        <v>35</v>
      </c>
      <c r="I758" s="552">
        <f ca="1">I772</f>
        <v>55</v>
      </c>
      <c r="J758" s="552">
        <f>J772</f>
        <v>55</v>
      </c>
      <c r="K758" s="551">
        <f ca="1">IF(I758&gt;0,J758*100/I758,0)</f>
        <v>100</v>
      </c>
      <c r="L758" s="550"/>
      <c r="M758" s="451"/>
      <c r="N758" s="451"/>
      <c r="O758" s="451"/>
      <c r="P758" s="451"/>
      <c r="Q758" s="451"/>
      <c r="R758" s="451"/>
      <c r="S758" s="451"/>
      <c r="T758" s="451"/>
      <c r="U758" s="451"/>
    </row>
    <row r="759" spans="1:21" ht="19.5" x14ac:dyDescent="0.3">
      <c r="A759" s="489"/>
      <c r="B759" s="445"/>
      <c r="C759" s="445"/>
      <c r="D759" s="447"/>
      <c r="E759" s="447"/>
      <c r="F759" s="447"/>
      <c r="G759" s="448"/>
      <c r="H759" s="472" t="s">
        <v>46</v>
      </c>
      <c r="I759" s="552">
        <f ca="1">I774</f>
        <v>110</v>
      </c>
      <c r="J759" s="552">
        <f>J774</f>
        <v>110</v>
      </c>
      <c r="K759" s="551">
        <f ca="1">IF(I759&gt;0,J759*100/I759,0)</f>
        <v>100</v>
      </c>
      <c r="L759" s="550"/>
      <c r="M759" s="451"/>
      <c r="N759" s="451"/>
      <c r="O759" s="451"/>
      <c r="P759" s="451"/>
      <c r="Q759" s="451"/>
      <c r="R759" s="451"/>
      <c r="S759" s="451"/>
      <c r="T759" s="451"/>
      <c r="U759" s="451"/>
    </row>
    <row r="760" spans="1:21" ht="19.5" x14ac:dyDescent="0.3">
      <c r="A760" s="128"/>
      <c r="B760" s="158"/>
      <c r="C760" s="374" t="s">
        <v>18</v>
      </c>
      <c r="D760" s="549" t="s">
        <v>19</v>
      </c>
      <c r="E760" s="526"/>
      <c r="F760" s="526"/>
      <c r="G760" s="527"/>
      <c r="H760" s="221" t="s">
        <v>14</v>
      </c>
      <c r="I760" s="44"/>
      <c r="J760" s="44"/>
      <c r="K760" s="45"/>
      <c r="L760" s="548">
        <f>L761+L762</f>
        <v>0</v>
      </c>
      <c r="M760" s="547">
        <f>M761+M762</f>
        <v>0</v>
      </c>
      <c r="N760" s="547">
        <f>N761+N762</f>
        <v>0</v>
      </c>
      <c r="O760" s="547">
        <f>IF(L760&gt;0,N760*100/L760,0)</f>
        <v>0</v>
      </c>
      <c r="P760" s="547">
        <f>IF(M760&gt;0,N760*100/M760,0)</f>
        <v>0</v>
      </c>
      <c r="Q760" s="547">
        <f ca="1">Q761+Q762</f>
        <v>400950</v>
      </c>
      <c r="R760" s="547">
        <f ca="1">R761+R762</f>
        <v>400950</v>
      </c>
      <c r="S760" s="547">
        <f ca="1">S761+S762</f>
        <v>342525</v>
      </c>
      <c r="T760" s="547">
        <f ca="1">IF(Q760&gt;0,S760*100/Q760,0)</f>
        <v>85.428357650579869</v>
      </c>
      <c r="U760" s="547">
        <f ca="1">IF(R760&gt;0,S760*100/R760,0)</f>
        <v>85.428357650579869</v>
      </c>
    </row>
    <row r="761" spans="1:21" ht="18.75" hidden="1" x14ac:dyDescent="0.25">
      <c r="A761" s="128"/>
      <c r="B761" s="158"/>
      <c r="C761" s="158"/>
      <c r="D761" s="145"/>
      <c r="E761" s="156" t="s">
        <v>162</v>
      </c>
      <c r="F761" s="40"/>
      <c r="G761" s="42"/>
      <c r="H761" s="159" t="s">
        <v>14</v>
      </c>
      <c r="I761" s="44"/>
      <c r="J761" s="44"/>
      <c r="K761" s="45"/>
      <c r="L761" s="546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hidden="1" x14ac:dyDescent="0.25">
      <c r="A762" s="128"/>
      <c r="B762" s="158"/>
      <c r="C762" s="174"/>
      <c r="D762" s="145"/>
      <c r="E762" s="47" t="s">
        <v>163</v>
      </c>
      <c r="F762" s="40"/>
      <c r="G762" s="42"/>
      <c r="H762" s="134" t="s">
        <v>14</v>
      </c>
      <c r="I762" s="44"/>
      <c r="J762" s="44"/>
      <c r="K762" s="45"/>
      <c r="L762" s="545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400950</v>
      </c>
      <c r="R762" s="224">
        <f ca="1">R765+R768</f>
        <v>400950</v>
      </c>
      <c r="S762" s="224">
        <f ca="1">S765+S768</f>
        <v>342525</v>
      </c>
      <c r="T762" s="224">
        <f ca="1">IF(Q762&gt;0,S762*100/Q762,0)</f>
        <v>85.428357650579869</v>
      </c>
      <c r="U762" s="224">
        <f ca="1">IF(R762&gt;0,S762*100/R762,0)</f>
        <v>85.428357650579869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545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400950</v>
      </c>
      <c r="R763" s="224">
        <f ca="1">R764+R765</f>
        <v>400950</v>
      </c>
      <c r="S763" s="224">
        <f ca="1">S764+S765</f>
        <v>342525</v>
      </c>
      <c r="T763" s="224">
        <f ca="1">IF(Q763&gt;0,S763*100/Q763,0)</f>
        <v>85.428357650579869</v>
      </c>
      <c r="U763" s="224">
        <f ca="1">IF(R763&gt;0,S763*100/R763,0)</f>
        <v>85.428357650579869</v>
      </c>
    </row>
    <row r="764" spans="1:21" ht="18.75" hidden="1" x14ac:dyDescent="0.25">
      <c r="A764" s="128"/>
      <c r="B764" s="158"/>
      <c r="C764" s="174"/>
      <c r="D764" s="145"/>
      <c r="E764" s="156" t="s">
        <v>162</v>
      </c>
      <c r="F764" s="40"/>
      <c r="G764" s="42"/>
      <c r="H764" s="159" t="s">
        <v>14</v>
      </c>
      <c r="I764" s="44"/>
      <c r="J764" s="44"/>
      <c r="K764" s="45"/>
      <c r="L764" s="546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hidden="1" x14ac:dyDescent="0.25">
      <c r="A765" s="128"/>
      <c r="B765" s="158"/>
      <c r="C765" s="174"/>
      <c r="D765" s="145"/>
      <c r="E765" s="47" t="s">
        <v>163</v>
      </c>
      <c r="F765" s="40"/>
      <c r="G765" s="42"/>
      <c r="H765" s="134" t="s">
        <v>14</v>
      </c>
      <c r="I765" s="44"/>
      <c r="J765" s="44"/>
      <c r="K765" s="45"/>
      <c r="L765" s="545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IFERROR(__xludf.DUMMYFUNCTION("IMPORTRANGE(""https://docs.google.com/spreadsheets/d/1ItG2mGa2ceCfYo0BwxsXqNm01IGEUdYcSSLTEv9YCik/edit?usp=sharing"",""เบิกจ่ายกองทุน!AA21"")"),400950)</f>
        <v>400950</v>
      </c>
      <c r="R765" s="224">
        <f ca="1">IFERROR(__xludf.DUMMYFUNCTION("IMPORTRANGE(""https://docs.google.com/spreadsheets/d/1ItG2mGa2ceCfYo0BwxsXqNm01IGEUdYcSSLTEv9YCik/edit?usp=sharing"",""เบิกจ่ายกองทุน!AB21"")"),400950)</f>
        <v>400950</v>
      </c>
      <c r="S765" s="224">
        <f ca="1">IFERROR(__xludf.DUMMYFUNCTION("IMPORTRANGE(""https://docs.google.com/spreadsheets/d/1ItG2mGa2ceCfYo0BwxsXqNm01IGEUdYcSSLTEv9YCik/edit?usp=sharing"",""เบิกจ่ายกองทุน!AC21"")"),342525)</f>
        <v>342525</v>
      </c>
      <c r="T765" s="224">
        <f ca="1">IF(Q765&gt;0,S765*100/Q765,0)</f>
        <v>85.428357650579869</v>
      </c>
      <c r="U765" s="224">
        <f ca="1">IF(R765&gt;0,S765*100/R765,0)</f>
        <v>85.428357650579869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545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hidden="1" x14ac:dyDescent="0.25">
      <c r="A767" s="128"/>
      <c r="B767" s="158"/>
      <c r="C767" s="158"/>
      <c r="D767" s="158"/>
      <c r="E767" s="322" t="s">
        <v>20</v>
      </c>
      <c r="F767" s="40"/>
      <c r="G767" s="42"/>
      <c r="H767" s="159" t="s">
        <v>14</v>
      </c>
      <c r="I767" s="135"/>
      <c r="J767" s="135"/>
      <c r="K767" s="136"/>
      <c r="L767" s="546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hidden="1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545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374" t="s">
        <v>18</v>
      </c>
      <c r="D769" s="544" t="s">
        <v>38</v>
      </c>
      <c r="E769" s="203"/>
      <c r="F769" s="141"/>
      <c r="G769" s="142"/>
      <c r="H769" s="178"/>
      <c r="I769" s="44"/>
      <c r="J769" s="44"/>
      <c r="K769" s="45"/>
      <c r="L769" s="543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hidden="1" x14ac:dyDescent="0.25">
      <c r="A770" s="138"/>
      <c r="B770" s="139"/>
      <c r="C770" s="139"/>
      <c r="D770" s="499" t="s">
        <v>293</v>
      </c>
      <c r="E770" s="139"/>
      <c r="F770" s="145"/>
      <c r="G770" s="143"/>
      <c r="H770" s="483" t="s">
        <v>35</v>
      </c>
      <c r="I770" s="485">
        <f ca="1">IFERROR(__xludf.DUMMYFUNCTION("IMPORTRANGE(""https://docs.google.com/spreadsheets/d/1eHaY18a8A9IcSdp1K8H6x8fbOy06t2VsZHhMHf-1x7Y/edit?usp=sharing"",""แผน!FI21"")"),1)</f>
        <v>1</v>
      </c>
      <c r="J770" s="485">
        <v>0</v>
      </c>
      <c r="K770" s="83">
        <f ca="1">IF(I770&gt;0,J770*100/I770,0)</f>
        <v>0</v>
      </c>
      <c r="L770" s="543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hidden="1" x14ac:dyDescent="0.25">
      <c r="A771" s="138"/>
      <c r="B771" s="139"/>
      <c r="C771" s="139"/>
      <c r="D771" s="499" t="s">
        <v>294</v>
      </c>
      <c r="E771" s="139"/>
      <c r="F771" s="145"/>
      <c r="G771" s="143"/>
      <c r="H771" s="178"/>
      <c r="I771" s="44"/>
      <c r="J771" s="44"/>
      <c r="K771" s="45"/>
      <c r="L771" s="543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61" t="s">
        <v>295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IFERROR(__xludf.DUMMYFUNCTION("IMPORTRANGE(""https://docs.google.com/spreadsheets/d/1eHaY18a8A9IcSdp1K8H6x8fbOy06t2VsZHhMHf-1x7Y/edit?usp=sharing"",""แผน!FQ21"")"),55)</f>
        <v>55</v>
      </c>
      <c r="J772" s="380">
        <v>55</v>
      </c>
      <c r="K772" s="224">
        <f ca="1">IF(I772&gt;0,J772*100/I772,0)</f>
        <v>100</v>
      </c>
      <c r="L772" s="543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61" t="s">
        <v>296</v>
      </c>
      <c r="E773" s="139"/>
      <c r="F773" s="145"/>
      <c r="G773" s="143"/>
      <c r="H773" s="178"/>
      <c r="I773" s="44"/>
      <c r="J773" s="44"/>
      <c r="K773" s="45"/>
      <c r="L773" s="543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61" t="s">
        <v>297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IFERROR(__xludf.DUMMYFUNCTION("IMPORTRANGE(""https://docs.google.com/spreadsheets/d/1eHaY18a8A9IcSdp1K8H6x8fbOy06t2VsZHhMHf-1x7Y/edit?usp=sharing"",""แผน!FR21"")"),110)</f>
        <v>110</v>
      </c>
      <c r="J774" s="380">
        <v>110</v>
      </c>
      <c r="K774" s="224">
        <f ca="1">IF(I774&gt;0,J774*100/I774,0)</f>
        <v>100</v>
      </c>
      <c r="L774" s="543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61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IFERROR(__xludf.DUMMYFUNCTION("IMPORTRANGE(""https://docs.google.com/spreadsheets/d/1eHaY18a8A9IcSdp1K8H6x8fbOy06t2VsZHhMHf-1x7Y/edit?usp=sharing"",""แผน!FS21"")"),110)</f>
        <v>110</v>
      </c>
      <c r="J775" s="380">
        <v>110</v>
      </c>
      <c r="K775" s="45"/>
      <c r="L775" s="543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IFERROR(__xludf.DUMMYFUNCTION("IMPORTRANGE(""https://docs.google.com/spreadsheets/d/1eHaY18a8A9IcSdp1K8H6x8fbOy06t2VsZHhMHf-1x7Y/edit?usp=sharing"",""แผน!FT21"")"),55)</f>
        <v>55</v>
      </c>
      <c r="J776" s="542">
        <v>55</v>
      </c>
      <c r="K776" s="3"/>
      <c r="L776" s="541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540" t="s">
        <v>298</v>
      </c>
      <c r="B777" s="502"/>
      <c r="C777" s="502"/>
      <c r="D777" s="501"/>
      <c r="E777" s="502"/>
      <c r="F777" s="502"/>
      <c r="G777" s="503"/>
      <c r="H777" s="539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05"/>
      <c r="J777" s="506"/>
      <c r="K777" s="507"/>
      <c r="L777" s="507"/>
      <c r="M777" s="507"/>
      <c r="N777" s="507"/>
      <c r="O777" s="507"/>
      <c r="P777" s="507"/>
      <c r="Q777" s="507"/>
      <c r="R777" s="507"/>
      <c r="S777" s="507"/>
      <c r="T777" s="507"/>
      <c r="U777" s="507"/>
    </row>
    <row r="778" spans="1:21" ht="18.75" x14ac:dyDescent="0.25">
      <c r="A778" s="39"/>
      <c r="B778" s="47" t="s">
        <v>299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IFERROR(__xludf.DUMMYFUNCTION("IMPORTRANGE(""https://docs.google.com/spreadsheets/d/10OvvATaaLtwErnr3qtWFcTmtbfpFEt5Bsqel9sXx0uE/edit?usp=sharing"",""งานกองทุน!D21"")"),2590000)</f>
        <v>2590000</v>
      </c>
      <c r="J778" s="184">
        <f ca="1">IFERROR(__xludf.DUMMYFUNCTION("IMPORTRANGE(""https://docs.google.com/spreadsheets/d/10OvvATaaLtwErnr3qtWFcTmtbfpFEt5Bsqel9sXx0uE/edit?usp=sharing"",""งานกองทุน!F21"")"),2578356.87)</f>
        <v>2578356.87</v>
      </c>
      <c r="K778" s="224">
        <f ca="1">IF(I778&gt;0,J778*100/I778,0)</f>
        <v>99.550458301158301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IFERROR(__xludf.DUMMYFUNCTION("IMPORTRANGE(""https://docs.google.com/spreadsheets/d/10OvvATaaLtwErnr3qtWFcTmtbfpFEt5Bsqel9sXx0uE/edit?usp=sharing"",""งานกองทุน!C21"")"),100)</f>
        <v>100</v>
      </c>
      <c r="J779" s="184">
        <f ca="1">IFERROR(__xludf.DUMMYFUNCTION("IMPORTRANGE(""https://docs.google.com/spreadsheets/d/10OvvATaaLtwErnr3qtWFcTmtbfpFEt5Bsqel9sXx0uE/edit?usp=sharing"",""งานกองทุน!E21"")"),117)</f>
        <v>117</v>
      </c>
      <c r="K779" s="224">
        <f ca="1">IF(I779&gt;0,J779*100/I779,0)</f>
        <v>117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300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IFERROR(__xludf.DUMMYFUNCTION("IMPORTRANGE(""https://docs.google.com/spreadsheets/d/10OvvATaaLtwErnr3qtWFcTmtbfpFEt5Bsqel9sXx0uE/edit?usp=sharing"",""งานกองทุน!I21"")"),327133.2)</f>
        <v>327133.2</v>
      </c>
      <c r="J780" s="184">
        <f ca="1">IFERROR(__xludf.DUMMYFUNCTION("IMPORTRANGE(""https://docs.google.com/spreadsheets/d/10OvvATaaLtwErnr3qtWFcTmtbfpFEt5Bsqel9sXx0uE/edit?usp=sharing"",""งานกองทุน!K21"")"),280811)</f>
        <v>280811</v>
      </c>
      <c r="K780" s="224">
        <f ca="1">IF(I780&gt;0,J780*100/I780,0)</f>
        <v>85.839957546345033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IFERROR(__xludf.DUMMYFUNCTION("IMPORTRANGE(""https://docs.google.com/spreadsheets/d/10OvvATaaLtwErnr3qtWFcTmtbfpFEt5Bsqel9sXx0uE/edit?usp=sharing"",""งานกองทุน!H21"")"),17)</f>
        <v>17</v>
      </c>
      <c r="J781" s="184">
        <f ca="1">IFERROR(__xludf.DUMMYFUNCTION("IMPORTRANGE(""https://docs.google.com/spreadsheets/d/10OvvATaaLtwErnr3qtWFcTmtbfpFEt5Bsqel9sXx0uE/edit?usp=sharing"",""งานกองทุน!J21"")"),20)</f>
        <v>20</v>
      </c>
      <c r="K781" s="224">
        <f ca="1">IF(I781&gt;0,J781*100/I781,0)</f>
        <v>117.64705882352941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301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184">
        <f ca="1">IFERROR(__xludf.DUMMYFUNCTION("IMPORTRANGE(""https://docs.google.com/spreadsheets/d/10OvvATaaLtwErnr3qtWFcTmtbfpFEt5Bsqel9sXx0uE/edit?usp=sharing"",""งานกองทุน!P21"")"),2282155.39)</f>
        <v>2282155.39</v>
      </c>
      <c r="K782" s="224">
        <f ca="1">IF(I782&gt;0,J782*100/I782,0)</f>
        <v>58.647059690613574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IFERROR(__xludf.DUMMYFUNCTION("IMPORTRANGE(""https://docs.google.com/spreadsheets/d/10OvvATaaLtwErnr3qtWFcTmtbfpFEt5Bsqel9sXx0uE/edit?usp=sharing"",""งานกองทุน!M21"")"),412)</f>
        <v>412</v>
      </c>
      <c r="J783" s="184">
        <f ca="1">IFERROR(__xludf.DUMMYFUNCTION("IMPORTRANGE(""https://docs.google.com/spreadsheets/d/10OvvATaaLtwErnr3qtWFcTmtbfpFEt5Bsqel9sXx0uE/edit?usp=sharing"",""งานกองทุน!O21"")"),53)</f>
        <v>53</v>
      </c>
      <c r="K783" s="224">
        <f ca="1">IF(I783&gt;0,J783*100/I783,0)</f>
        <v>12.864077669902912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302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IFERROR(__xludf.DUMMYFUNCTION("IMPORTRANGE(""https://docs.google.com/spreadsheets/d/10OvvATaaLtwErnr3qtWFcTmtbfpFEt5Bsqel9sXx0uE/edit?usp=sharing"",""งานกองทุน!S21"")"),3220000)</f>
        <v>3220000</v>
      </c>
      <c r="J784" s="184">
        <f ca="1">IFERROR(__xludf.DUMMYFUNCTION("IMPORTRANGE(""https://docs.google.com/spreadsheets/d/10OvvATaaLtwErnr3qtWFcTmtbfpFEt5Bsqel9sXx0uE/edit?usp=sharing"",""งานกองทุน!U21"")"),3220000)</f>
        <v>3220000</v>
      </c>
      <c r="K784" s="224">
        <f ca="1">IF(I784&gt;0,J784*100/I784,0)</f>
        <v>100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IFERROR(__xludf.DUMMYFUNCTION("IMPORTRANGE(""https://docs.google.com/spreadsheets/d/10OvvATaaLtwErnr3qtWFcTmtbfpFEt5Bsqel9sXx0uE/edit?usp=sharing"",""งานกองทุน!R21"")"),115)</f>
        <v>115</v>
      </c>
      <c r="J785" s="188">
        <f ca="1">IFERROR(__xludf.DUMMYFUNCTION("IMPORTRANGE(""https://docs.google.com/spreadsheets/d/10OvvATaaLtwErnr3qtWFcTmtbfpFEt5Bsqel9sXx0uE/edit?usp=sharing"",""งานกองทุน!T21"")"),115)</f>
        <v>115</v>
      </c>
      <c r="K785" s="508">
        <f ca="1">IF(I785&gt;0,J785*100/I785,0)</f>
        <v>100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538" t="s">
        <v>303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512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31 ส.ค. 2567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 ก.ย. 67 เวลา 09.21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6">
    <mergeCell ref="A1:U1"/>
    <mergeCell ref="A2:U2"/>
    <mergeCell ref="A3:U3"/>
    <mergeCell ref="L5:M5"/>
    <mergeCell ref="N5:P5"/>
    <mergeCell ref="Q5:R5"/>
    <mergeCell ref="H4:H6"/>
    <mergeCell ref="L4:P4"/>
    <mergeCell ref="Q4:U4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cp:lastPrinted>2024-09-04T07:04:46Z</cp:lastPrinted>
  <dcterms:modified xsi:type="dcterms:W3CDTF">2024-09-04T07:08:59Z</dcterms:modified>
</cp:coreProperties>
</file>